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Finance\Enw-core-finance\Investors &amp; Planning\Regulation\RIGs\RFPR\2022-23\Final Submission to Regulation\"/>
    </mc:Choice>
  </mc:AlternateContent>
  <xr:revisionPtr revIDLastSave="0" documentId="13_ncr:1_{2744316F-B4ED-49C8-A11A-1A144C4AF31C}" xr6:coauthVersionLast="47" xr6:coauthVersionMax="47" xr10:uidLastSave="{00000000-0000-0000-0000-000000000000}"/>
  <bookViews>
    <workbookView xWindow="-120" yWindow="-120" windowWidth="20730" windowHeight="11160" tabRatio="847"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 r="B3" i="1" l="1"/>
  <c r="M47" i="17" l="1"/>
  <c r="K14" i="20" l="1"/>
  <c r="K16" i="20" s="1"/>
  <c r="J14" i="20"/>
  <c r="J16" i="20" s="1"/>
  <c r="I14" i="20"/>
  <c r="I16" i="20" s="1"/>
  <c r="H14" i="20"/>
  <c r="H16" i="20" s="1"/>
  <c r="G14" i="20"/>
  <c r="G16" i="20" s="1"/>
  <c r="F14" i="20"/>
  <c r="F16" i="20" s="1"/>
  <c r="E14" i="20"/>
  <c r="E16" i="20" s="1"/>
  <c r="D14" i="20"/>
  <c r="D16" i="20" s="1"/>
  <c r="A3" i="20"/>
  <c r="A2" i="20"/>
  <c r="A3" i="19"/>
  <c r="A2" i="19"/>
  <c r="K13" i="11"/>
  <c r="J13" i="11"/>
  <c r="I13" i="11"/>
  <c r="B3" i="11"/>
  <c r="A3" i="11"/>
  <c r="A2" i="11"/>
  <c r="K19" i="29"/>
  <c r="I19" i="29"/>
  <c r="A3" i="29"/>
  <c r="A2" i="29"/>
  <c r="K28" i="10"/>
  <c r="J28" i="10"/>
  <c r="I28" i="10"/>
  <c r="H28" i="10"/>
  <c r="G28" i="10"/>
  <c r="F28" i="10"/>
  <c r="E28" i="10"/>
  <c r="D28" i="10"/>
  <c r="A3" i="10"/>
  <c r="A2" i="10"/>
  <c r="B3" i="27"/>
  <c r="A3" i="27"/>
  <c r="A2" i="27"/>
  <c r="L6" i="17"/>
  <c r="B3" i="17"/>
  <c r="A3" i="17"/>
  <c r="A2" i="17"/>
  <c r="B3" i="3"/>
  <c r="A3" i="3"/>
  <c r="A2" i="3"/>
  <c r="A105" i="5"/>
  <c r="A100" i="5"/>
  <c r="A111" i="5" s="1"/>
  <c r="A97" i="5"/>
  <c r="A110" i="5" s="1"/>
  <c r="A94" i="5"/>
  <c r="A109" i="5" s="1"/>
  <c r="A91" i="5"/>
  <c r="A108" i="5" s="1"/>
  <c r="A88" i="5"/>
  <c r="A107" i="5" s="1"/>
  <c r="A85" i="5"/>
  <c r="A106" i="5" s="1"/>
  <c r="A82" i="5"/>
  <c r="K73" i="5"/>
  <c r="J73" i="5"/>
  <c r="I73" i="5"/>
  <c r="H73" i="5"/>
  <c r="G73" i="5"/>
  <c r="F73" i="5"/>
  <c r="E73" i="5"/>
  <c r="D73" i="5"/>
  <c r="A69" i="5"/>
  <c r="I69" i="5" s="1"/>
  <c r="A65" i="5"/>
  <c r="A61" i="5"/>
  <c r="A57" i="5"/>
  <c r="A53" i="5"/>
  <c r="A49" i="5"/>
  <c r="A45" i="5"/>
  <c r="A44" i="5"/>
  <c r="A43" i="5"/>
  <c r="A42" i="5"/>
  <c r="A41" i="5"/>
  <c r="A40" i="5"/>
  <c r="A39" i="5"/>
  <c r="A25" i="5"/>
  <c r="A24" i="5"/>
  <c r="A23" i="5"/>
  <c r="A22" i="5"/>
  <c r="A21" i="5"/>
  <c r="M17" i="5"/>
  <c r="M16"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K56" i="2"/>
  <c r="J56" i="2"/>
  <c r="I56" i="2"/>
  <c r="H56" i="2"/>
  <c r="G56" i="2"/>
  <c r="F56" i="2"/>
  <c r="E56" i="2"/>
  <c r="D56" i="2"/>
  <c r="M55" i="2"/>
  <c r="M54" i="2"/>
  <c r="M53" i="2"/>
  <c r="M52" i="2"/>
  <c r="M51" i="2"/>
  <c r="M50" i="2"/>
  <c r="K44" i="2"/>
  <c r="J44" i="2"/>
  <c r="I44" i="2"/>
  <c r="I58" i="2" s="1"/>
  <c r="H44" i="2"/>
  <c r="H58" i="2" s="1"/>
  <c r="G44" i="2"/>
  <c r="F44" i="2"/>
  <c r="E44" i="2"/>
  <c r="E58" i="2" s="1"/>
  <c r="D44" i="2"/>
  <c r="K42" i="2"/>
  <c r="J42" i="2"/>
  <c r="I42" i="2"/>
  <c r="H42" i="2"/>
  <c r="G42" i="2"/>
  <c r="F42" i="2"/>
  <c r="E42" i="2"/>
  <c r="D42" i="2"/>
  <c r="M41" i="2"/>
  <c r="M40" i="2"/>
  <c r="M42" i="2" s="1"/>
  <c r="M27" i="2"/>
  <c r="M26" i="2"/>
  <c r="M25" i="2"/>
  <c r="M24" i="2"/>
  <c r="M23" i="2"/>
  <c r="K16" i="2"/>
  <c r="J16" i="2"/>
  <c r="I16" i="2"/>
  <c r="H16" i="2"/>
  <c r="G16" i="2"/>
  <c r="F16" i="2"/>
  <c r="E16" i="2"/>
  <c r="D16" i="2"/>
  <c r="L6" i="2"/>
  <c r="A3" i="2"/>
  <c r="A2" i="2"/>
  <c r="K78" i="15"/>
  <c r="J78" i="15"/>
  <c r="K46" i="15"/>
  <c r="J46" i="15"/>
  <c r="K18" i="15"/>
  <c r="K23" i="15" s="1"/>
  <c r="J18" i="15"/>
  <c r="J23" i="15" s="1"/>
  <c r="A3" i="15"/>
  <c r="A2" i="15"/>
  <c r="K64" i="4"/>
  <c r="J64" i="4"/>
  <c r="K45" i="4"/>
  <c r="J45" i="4"/>
  <c r="J14" i="4"/>
  <c r="A3" i="4"/>
  <c r="A2" i="4"/>
  <c r="B42" i="1"/>
  <c r="B39" i="1"/>
  <c r="B38" i="1"/>
  <c r="B37" i="1"/>
  <c r="B31" i="1"/>
  <c r="B30" i="1"/>
  <c r="B23" i="1"/>
  <c r="B22" i="1"/>
  <c r="B20" i="1"/>
  <c r="B19" i="1"/>
  <c r="B18" i="1"/>
  <c r="B12" i="1"/>
  <c r="B11" i="1"/>
  <c r="M6" i="1"/>
  <c r="A3" i="1"/>
  <c r="A2" i="1"/>
  <c r="A3" i="14"/>
  <c r="A2" i="14"/>
  <c r="A3" i="21"/>
  <c r="A2" i="21"/>
  <c r="E202" i="28"/>
  <c r="F159" i="28" s="1"/>
  <c r="B202" i="28"/>
  <c r="F158" i="28" s="1"/>
  <c r="E192" i="28"/>
  <c r="F157" i="28" s="1"/>
  <c r="B192" i="28"/>
  <c r="F156" i="28" s="1"/>
  <c r="E182" i="28"/>
  <c r="F155" i="28" s="1"/>
  <c r="B182" i="28"/>
  <c r="F154" i="28" s="1"/>
  <c r="F153" i="28"/>
  <c r="F152" i="28"/>
  <c r="D118" i="28"/>
  <c r="E118" i="28" s="1"/>
  <c r="F118" i="28" s="1"/>
  <c r="G118" i="28" s="1"/>
  <c r="H118" i="28" s="1"/>
  <c r="I118" i="28" s="1"/>
  <c r="J118" i="28" s="1"/>
  <c r="K118" i="28" s="1"/>
  <c r="L118" i="28" s="1"/>
  <c r="D105" i="28"/>
  <c r="E105" i="28" s="1"/>
  <c r="F105" i="28" s="1"/>
  <c r="G105" i="28" s="1"/>
  <c r="H105" i="28" s="1"/>
  <c r="I105" i="28" s="1"/>
  <c r="J105" i="28" s="1"/>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C14" i="13" s="1"/>
  <c r="C42" i="2" s="1"/>
  <c r="L72" i="28"/>
  <c r="M72" i="28" s="1"/>
  <c r="N72" i="28" s="1"/>
  <c r="O72" i="28" s="1"/>
  <c r="P72" i="28" s="1"/>
  <c r="Q72" i="28" s="1"/>
  <c r="R72" i="28" s="1"/>
  <c r="S72" i="28" s="1"/>
  <c r="T72" i="28" s="1"/>
  <c r="D62" i="28"/>
  <c r="E62" i="28" s="1"/>
  <c r="F62" i="28" s="1"/>
  <c r="G62" i="28" s="1"/>
  <c r="H62" i="28" s="1"/>
  <c r="I62" i="28" s="1"/>
  <c r="J62" i="28" s="1"/>
  <c r="K62" i="28" s="1"/>
  <c r="L62" i="28" s="1"/>
  <c r="J51" i="28"/>
  <c r="I51" i="28"/>
  <c r="H51" i="28"/>
  <c r="G51" i="28"/>
  <c r="F51" i="28"/>
  <c r="E51" i="28"/>
  <c r="D51" i="28"/>
  <c r="C51" i="28"/>
  <c r="E50" i="28"/>
  <c r="F50" i="28" s="1"/>
  <c r="G50" i="28" s="1"/>
  <c r="H50" i="28" s="1"/>
  <c r="I50" i="28" s="1"/>
  <c r="J50" i="28" s="1"/>
  <c r="D50" i="28"/>
  <c r="C48" i="28"/>
  <c r="B45" i="28"/>
  <c r="E42" i="28"/>
  <c r="F42" i="28" s="1"/>
  <c r="G42" i="28" s="1"/>
  <c r="H42" i="28" s="1"/>
  <c r="I42" i="28" s="1"/>
  <c r="J42" i="28" s="1"/>
  <c r="E38" i="28"/>
  <c r="F38" i="28" s="1"/>
  <c r="G38" i="28" s="1"/>
  <c r="H38" i="28" s="1"/>
  <c r="I38" i="28" s="1"/>
  <c r="J38" i="28" s="1"/>
  <c r="D30" i="28"/>
  <c r="D29" i="28"/>
  <c r="D28" i="28"/>
  <c r="D27" i="28"/>
  <c r="D26" i="28"/>
  <c r="D25" i="28"/>
  <c r="D24" i="28"/>
  <c r="D23" i="28"/>
  <c r="D22" i="28"/>
  <c r="D21" i="28"/>
  <c r="D20" i="28"/>
  <c r="D19" i="28"/>
  <c r="D18" i="28"/>
  <c r="D17" i="28"/>
  <c r="D16" i="28"/>
  <c r="D15" i="28"/>
  <c r="D14" i="28"/>
  <c r="A3" i="28"/>
  <c r="A2" i="28"/>
  <c r="C13" i="13"/>
  <c r="D6" i="15" s="1"/>
  <c r="C12" i="13"/>
  <c r="C11" i="13"/>
  <c r="C10" i="13"/>
  <c r="C6" i="13"/>
  <c r="A3" i="13"/>
  <c r="A2" i="13"/>
  <c r="E156" i="28" l="1"/>
  <c r="K66" i="4"/>
  <c r="K68" i="4" s="1"/>
  <c r="J66" i="4"/>
  <c r="J68" i="4" s="1"/>
  <c r="M73" i="5"/>
  <c r="M56" i="2"/>
  <c r="K47" i="2"/>
  <c r="K48" i="15"/>
  <c r="K80" i="15" s="1"/>
  <c r="J48" i="15"/>
  <c r="J80" i="15" s="1"/>
  <c r="E69" i="5"/>
  <c r="J69" i="5"/>
  <c r="H69" i="5"/>
  <c r="F69" i="5"/>
  <c r="D69" i="5"/>
  <c r="G69" i="5"/>
  <c r="K69" i="5"/>
  <c r="F46" i="2"/>
  <c r="I59" i="2"/>
  <c r="K46" i="2"/>
  <c r="F47" i="2"/>
  <c r="E46" i="2"/>
  <c r="E62" i="2" s="1"/>
  <c r="I46" i="2"/>
  <c r="I62" i="2" s="1"/>
  <c r="E59" i="2"/>
  <c r="E6" i="15"/>
  <c r="D5" i="15"/>
  <c r="E154" i="28"/>
  <c r="E159" i="28"/>
  <c r="C51" i="1"/>
  <c r="C55" i="1"/>
  <c r="C61" i="1"/>
  <c r="C11" i="4"/>
  <c r="J46" i="29"/>
  <c r="F46" i="29"/>
  <c r="J42" i="10"/>
  <c r="F42" i="10"/>
  <c r="I65" i="27"/>
  <c r="E65" i="27"/>
  <c r="H58" i="27"/>
  <c r="D58" i="27"/>
  <c r="J62" i="17"/>
  <c r="F62" i="17"/>
  <c r="I46" i="29"/>
  <c r="E46" i="29"/>
  <c r="I42" i="10"/>
  <c r="E42" i="10"/>
  <c r="H65" i="27"/>
  <c r="D65" i="27"/>
  <c r="K58" i="27"/>
  <c r="G58" i="27"/>
  <c r="I62" i="17"/>
  <c r="E62" i="17"/>
  <c r="H46" i="29"/>
  <c r="D46" i="29"/>
  <c r="H42" i="10"/>
  <c r="D42" i="10"/>
  <c r="K65" i="27"/>
  <c r="G65" i="27"/>
  <c r="J58" i="27"/>
  <c r="F58" i="27"/>
  <c r="H62" i="17"/>
  <c r="D62" i="17"/>
  <c r="J65" i="27"/>
  <c r="E58" i="27"/>
  <c r="K42" i="10"/>
  <c r="F65" i="27"/>
  <c r="K62" i="17"/>
  <c r="K46" i="29"/>
  <c r="G42" i="10"/>
  <c r="G62" i="17"/>
  <c r="G46" i="29"/>
  <c r="I58" i="27"/>
  <c r="C33" i="28"/>
  <c r="C50" i="1"/>
  <c r="C54" i="1"/>
  <c r="C66" i="1"/>
  <c r="E157" i="28"/>
  <c r="E153" i="28"/>
  <c r="D6" i="20"/>
  <c r="D6" i="19"/>
  <c r="D6" i="3"/>
  <c r="D6" i="10"/>
  <c r="D5" i="10" s="1"/>
  <c r="D6" i="27"/>
  <c r="D6" i="11"/>
  <c r="D6" i="29"/>
  <c r="D5" i="29" s="1"/>
  <c r="D6" i="17"/>
  <c r="E6" i="17" s="1"/>
  <c r="D6" i="4"/>
  <c r="D6" i="1"/>
  <c r="D6" i="2"/>
  <c r="D6" i="5"/>
  <c r="B48" i="28"/>
  <c r="B10" i="2" s="1"/>
  <c r="B88" i="2" s="1"/>
  <c r="B149" i="28"/>
  <c r="E158" i="28"/>
  <c r="C48" i="1"/>
  <c r="C53" i="1"/>
  <c r="C12" i="2"/>
  <c r="F58" i="2"/>
  <c r="F62" i="2" s="1"/>
  <c r="F59" i="2"/>
  <c r="J58" i="2"/>
  <c r="J59" i="2"/>
  <c r="J47" i="2"/>
  <c r="J46" i="2"/>
  <c r="J41" i="10"/>
  <c r="F41" i="10"/>
  <c r="I41" i="10"/>
  <c r="E41" i="10"/>
  <c r="H41" i="10"/>
  <c r="D41" i="10"/>
  <c r="G41" i="10"/>
  <c r="K41" i="10"/>
  <c r="C8" i="20"/>
  <c r="C14" i="19"/>
  <c r="C86" i="29"/>
  <c r="C74" i="29"/>
  <c r="C68" i="29"/>
  <c r="C61" i="29"/>
  <c r="C47" i="10"/>
  <c r="C29" i="10"/>
  <c r="C25" i="10"/>
  <c r="C21" i="10"/>
  <c r="C17" i="10"/>
  <c r="C16" i="10"/>
  <c r="C61" i="27"/>
  <c r="C90" i="17"/>
  <c r="C79" i="17"/>
  <c r="C28" i="3"/>
  <c r="C19" i="19"/>
  <c r="C83" i="29"/>
  <c r="C73" i="29"/>
  <c r="C67" i="29"/>
  <c r="C60" i="29"/>
  <c r="C51" i="10"/>
  <c r="C46" i="10"/>
  <c r="C28" i="10"/>
  <c r="C24" i="10"/>
  <c r="C20" i="10"/>
  <c r="C11" i="10"/>
  <c r="C88" i="17"/>
  <c r="C70" i="17"/>
  <c r="C18" i="19"/>
  <c r="C89" i="29"/>
  <c r="C81" i="29"/>
  <c r="C72" i="29"/>
  <c r="C66" i="29"/>
  <c r="C53" i="29"/>
  <c r="C50" i="10"/>
  <c r="C45" i="10"/>
  <c r="C27" i="10"/>
  <c r="C23" i="10"/>
  <c r="C19" i="10"/>
  <c r="C63" i="27"/>
  <c r="C86" i="17"/>
  <c r="C69" i="17"/>
  <c r="C17" i="19"/>
  <c r="C71" i="29"/>
  <c r="C41" i="29"/>
  <c r="C49" i="10"/>
  <c r="C26" i="10"/>
  <c r="C80" i="17"/>
  <c r="C69" i="5"/>
  <c r="C53" i="5"/>
  <c r="C43" i="5"/>
  <c r="C39" i="5"/>
  <c r="C17" i="5"/>
  <c r="C16" i="5"/>
  <c r="C15" i="5"/>
  <c r="C14" i="5"/>
  <c r="C13" i="5"/>
  <c r="C12" i="5"/>
  <c r="C11" i="5"/>
  <c r="C62" i="29"/>
  <c r="C22" i="10"/>
  <c r="C88" i="29"/>
  <c r="C18" i="10"/>
  <c r="C62" i="27"/>
  <c r="C73" i="5"/>
  <c r="C61" i="5"/>
  <c r="C79" i="29"/>
  <c r="C31" i="10"/>
  <c r="C56" i="17"/>
  <c r="C43" i="17"/>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E155" i="28"/>
  <c r="C52" i="1"/>
  <c r="C57" i="1"/>
  <c r="C18" i="2"/>
  <c r="C24" i="2"/>
  <c r="C27" i="2"/>
  <c r="G58" i="2"/>
  <c r="G59" i="2"/>
  <c r="K58" i="2"/>
  <c r="K59" i="2"/>
  <c r="K63" i="2" s="1"/>
  <c r="G46" i="2"/>
  <c r="G62" i="2" s="1"/>
  <c r="G47" i="2"/>
  <c r="G63" i="2" s="1"/>
  <c r="D59" i="2"/>
  <c r="D46" i="2"/>
  <c r="H59" i="2"/>
  <c r="H46" i="2"/>
  <c r="H62" i="2" s="1"/>
  <c r="H47" i="2"/>
  <c r="D47" i="2"/>
  <c r="D58" i="2"/>
  <c r="E47" i="2"/>
  <c r="I47" i="2"/>
  <c r="I63" i="2" s="1"/>
  <c r="K62" i="2" l="1"/>
  <c r="M69" i="5"/>
  <c r="B153" i="28"/>
  <c r="B11" i="5" s="1"/>
  <c r="I64" i="2"/>
  <c r="F63" i="2"/>
  <c r="M58" i="2"/>
  <c r="M59" i="2"/>
  <c r="E63" i="2"/>
  <c r="E64" i="2" s="1"/>
  <c r="K64" i="2"/>
  <c r="D78" i="2"/>
  <c r="E6" i="2"/>
  <c r="D5" i="2"/>
  <c r="D77" i="2"/>
  <c r="E6" i="27"/>
  <c r="D5" i="27"/>
  <c r="D5" i="20"/>
  <c r="E6" i="20"/>
  <c r="F6" i="15"/>
  <c r="E5" i="15"/>
  <c r="D5" i="1"/>
  <c r="E6" i="1"/>
  <c r="E6" i="29"/>
  <c r="E5" i="29" s="1"/>
  <c r="E6" i="10"/>
  <c r="E5" i="10" s="1"/>
  <c r="D40" i="10"/>
  <c r="D43" i="10" s="1"/>
  <c r="D36" i="10"/>
  <c r="D63" i="2"/>
  <c r="M47" i="2"/>
  <c r="G64" i="2"/>
  <c r="H63" i="2"/>
  <c r="D62" i="2"/>
  <c r="M46" i="2"/>
  <c r="B159" i="28"/>
  <c r="B17" i="5" s="1"/>
  <c r="B160" i="28"/>
  <c r="B156" i="28"/>
  <c r="B14" i="5" s="1"/>
  <c r="B157" i="28"/>
  <c r="B15" i="5" s="1"/>
  <c r="B154" i="28"/>
  <c r="B12" i="5" s="1"/>
  <c r="B155" i="28"/>
  <c r="B13" i="5" s="1"/>
  <c r="B158" i="28"/>
  <c r="B16" i="5" s="1"/>
  <c r="J62" i="2"/>
  <c r="D5" i="4"/>
  <c r="E6" i="4"/>
  <c r="D5" i="3"/>
  <c r="E6" i="3"/>
  <c r="J63" i="2"/>
  <c r="D99" i="5"/>
  <c r="D93" i="5"/>
  <c r="D87" i="5"/>
  <c r="D81" i="5"/>
  <c r="D96" i="5"/>
  <c r="D90" i="5"/>
  <c r="D84" i="5"/>
  <c r="D66" i="5"/>
  <c r="D50" i="5"/>
  <c r="D70" i="5"/>
  <c r="D71" i="5" s="1"/>
  <c r="D58" i="5"/>
  <c r="D74" i="5"/>
  <c r="D75" i="5" s="1"/>
  <c r="D62" i="5"/>
  <c r="D5" i="5"/>
  <c r="E6" i="5"/>
  <c r="D54" i="5"/>
  <c r="D5" i="17"/>
  <c r="E6" i="11"/>
  <c r="D5" i="11"/>
  <c r="D5" i="19"/>
  <c r="E6" i="19"/>
  <c r="D33" i="28"/>
  <c r="C36" i="28"/>
  <c r="C35" i="28"/>
  <c r="D34" i="10" s="1"/>
  <c r="C34" i="28"/>
  <c r="C32" i="28"/>
  <c r="E5" i="17"/>
  <c r="F6" i="17"/>
  <c r="F64" i="2" l="1"/>
  <c r="J64" i="2"/>
  <c r="D79" i="2"/>
  <c r="D50" i="1" s="1"/>
  <c r="B49" i="5"/>
  <c r="B82" i="5"/>
  <c r="B39" i="5"/>
  <c r="B51" i="1" s="1"/>
  <c r="B94" i="5"/>
  <c r="B65" i="5"/>
  <c r="B43" i="5"/>
  <c r="B55" i="1" s="1"/>
  <c r="M63" i="2"/>
  <c r="E78" i="2"/>
  <c r="E77" i="2"/>
  <c r="E5" i="2"/>
  <c r="F6" i="2"/>
  <c r="E33" i="28"/>
  <c r="D36" i="28"/>
  <c r="D35" i="28"/>
  <c r="E34" i="10" s="1"/>
  <c r="D34" i="28"/>
  <c r="D32" i="28"/>
  <c r="F6" i="11"/>
  <c r="E5" i="11"/>
  <c r="F6" i="4"/>
  <c r="E5" i="4"/>
  <c r="B97" i="5"/>
  <c r="B44" i="5"/>
  <c r="B69" i="5"/>
  <c r="B91" i="5"/>
  <c r="B61" i="5"/>
  <c r="B42" i="5"/>
  <c r="B54" i="1" s="1"/>
  <c r="M62" i="2"/>
  <c r="D64" i="2"/>
  <c r="F6" i="29"/>
  <c r="F5" i="29" s="1"/>
  <c r="H64" i="2"/>
  <c r="D35" i="10"/>
  <c r="D39" i="29"/>
  <c r="D41" i="17"/>
  <c r="D86" i="2"/>
  <c r="F6" i="19"/>
  <c r="E5" i="19"/>
  <c r="E96" i="5"/>
  <c r="E90" i="5"/>
  <c r="E84" i="5"/>
  <c r="E99" i="5"/>
  <c r="E70" i="5"/>
  <c r="E71" i="5" s="1"/>
  <c r="E44" i="5" s="1"/>
  <c r="E54" i="5"/>
  <c r="F6" i="5"/>
  <c r="E81" i="5"/>
  <c r="E87" i="5"/>
  <c r="E74" i="5"/>
  <c r="E75" i="5" s="1"/>
  <c r="E45" i="5" s="1"/>
  <c r="E62" i="5"/>
  <c r="E93" i="5"/>
  <c r="E66" i="5"/>
  <c r="E50" i="5"/>
  <c r="E5" i="5"/>
  <c r="E58" i="5"/>
  <c r="B57" i="5"/>
  <c r="B88" i="5"/>
  <c r="B41" i="5"/>
  <c r="B53" i="1" s="1"/>
  <c r="E40" i="10"/>
  <c r="E43" i="10" s="1"/>
  <c r="F6" i="10"/>
  <c r="F5" i="10" s="1"/>
  <c r="F6" i="1"/>
  <c r="E5" i="1"/>
  <c r="G6" i="15"/>
  <c r="F5" i="15"/>
  <c r="E5" i="27"/>
  <c r="F6" i="27"/>
  <c r="D45" i="5"/>
  <c r="D44" i="5"/>
  <c r="F6" i="3"/>
  <c r="E5" i="3"/>
  <c r="B85" i="5"/>
  <c r="B40" i="5"/>
  <c r="B52" i="1" s="1"/>
  <c r="B53" i="5"/>
  <c r="B100" i="5"/>
  <c r="B73" i="5"/>
  <c r="B45" i="5"/>
  <c r="F6" i="20"/>
  <c r="E5" i="20"/>
  <c r="G6" i="17"/>
  <c r="F5" i="17"/>
  <c r="B33" i="1" l="1"/>
  <c r="B14" i="1"/>
  <c r="G6" i="19"/>
  <c r="F5" i="19"/>
  <c r="G6" i="4"/>
  <c r="F5" i="4"/>
  <c r="E41" i="17"/>
  <c r="E35" i="10"/>
  <c r="E39" i="29"/>
  <c r="E86" i="2"/>
  <c r="E79" i="2"/>
  <c r="B36" i="1"/>
  <c r="B17" i="1"/>
  <c r="B35" i="1"/>
  <c r="B16" i="1"/>
  <c r="F77" i="2"/>
  <c r="G6" i="2"/>
  <c r="F78" i="2"/>
  <c r="F5" i="2"/>
  <c r="G6" i="20"/>
  <c r="F5" i="20"/>
  <c r="G5" i="15"/>
  <c r="H6" i="15"/>
  <c r="G6" i="1"/>
  <c r="F5" i="1"/>
  <c r="B34" i="1"/>
  <c r="B15" i="1"/>
  <c r="F96" i="5"/>
  <c r="F90" i="5"/>
  <c r="F84" i="5"/>
  <c r="F99" i="5"/>
  <c r="F93" i="5"/>
  <c r="F87" i="5"/>
  <c r="F81" i="5"/>
  <c r="F58" i="5"/>
  <c r="F5" i="5"/>
  <c r="F74" i="5"/>
  <c r="F75" i="5" s="1"/>
  <c r="F66" i="5"/>
  <c r="F70" i="5"/>
  <c r="F71" i="5" s="1"/>
  <c r="F54" i="5"/>
  <c r="G6" i="5"/>
  <c r="F62" i="5"/>
  <c r="F50" i="5"/>
  <c r="D119" i="2"/>
  <c r="D131" i="2"/>
  <c r="D130" i="2"/>
  <c r="D132" i="2"/>
  <c r="D103" i="2"/>
  <c r="D118" i="2"/>
  <c r="D104" i="2"/>
  <c r="D128" i="2"/>
  <c r="D133" i="2"/>
  <c r="D102" i="2"/>
  <c r="D101" i="2"/>
  <c r="D105" i="2"/>
  <c r="D129" i="2"/>
  <c r="D23" i="29"/>
  <c r="F5" i="11"/>
  <c r="G6" i="11"/>
  <c r="G6" i="3"/>
  <c r="F5" i="3"/>
  <c r="G6" i="27"/>
  <c r="F5" i="27"/>
  <c r="G6" i="10"/>
  <c r="G5" i="10" s="1"/>
  <c r="F40" i="10"/>
  <c r="F43" i="10" s="1"/>
  <c r="G6" i="29"/>
  <c r="G5" i="29" s="1"/>
  <c r="M64" i="2"/>
  <c r="E36" i="28"/>
  <c r="E35" i="28"/>
  <c r="F34" i="10" s="1"/>
  <c r="E34" i="28"/>
  <c r="E32" i="28"/>
  <c r="F33" i="28"/>
  <c r="B32" i="1"/>
  <c r="B13" i="1"/>
  <c r="G5" i="17"/>
  <c r="H6" i="17"/>
  <c r="H5" i="17" s="1"/>
  <c r="E23" i="29" l="1"/>
  <c r="F41" i="17"/>
  <c r="F35" i="10"/>
  <c r="F86" i="2"/>
  <c r="F39" i="29"/>
  <c r="H6" i="3"/>
  <c r="G5" i="3"/>
  <c r="D120" i="2"/>
  <c r="I6" i="15"/>
  <c r="H5" i="15"/>
  <c r="H6" i="19"/>
  <c r="G5" i="19"/>
  <c r="G99" i="5"/>
  <c r="G93" i="5"/>
  <c r="G87" i="5"/>
  <c r="G81" i="5"/>
  <c r="G74" i="5"/>
  <c r="G75" i="5" s="1"/>
  <c r="G45" i="5" s="1"/>
  <c r="G62" i="5"/>
  <c r="G84" i="5"/>
  <c r="G90" i="5"/>
  <c r="G70" i="5"/>
  <c r="G71" i="5" s="1"/>
  <c r="G44" i="5" s="1"/>
  <c r="G96" i="5"/>
  <c r="G58" i="5"/>
  <c r="G66" i="5"/>
  <c r="H6" i="5"/>
  <c r="G50" i="5"/>
  <c r="G54" i="5"/>
  <c r="G5" i="5"/>
  <c r="F45" i="5"/>
  <c r="F79" i="2"/>
  <c r="F50" i="1" s="1"/>
  <c r="H6" i="4"/>
  <c r="G5" i="4"/>
  <c r="G33" i="28"/>
  <c r="F36" i="28"/>
  <c r="F35" i="28"/>
  <c r="G34" i="10" s="1"/>
  <c r="F34" i="28"/>
  <c r="F32" i="28"/>
  <c r="H6" i="29"/>
  <c r="H5" i="29" s="1"/>
  <c r="H6" i="27"/>
  <c r="G5" i="27"/>
  <c r="H6" i="11"/>
  <c r="G5" i="11"/>
  <c r="D134" i="2"/>
  <c r="H6" i="20"/>
  <c r="G5" i="20"/>
  <c r="G77" i="2"/>
  <c r="G78" i="2"/>
  <c r="H6" i="2"/>
  <c r="G5" i="2"/>
  <c r="E102" i="2"/>
  <c r="E119" i="2"/>
  <c r="E105" i="2"/>
  <c r="E101" i="2"/>
  <c r="E128" i="2"/>
  <c r="E131" i="2"/>
  <c r="E130" i="2"/>
  <c r="E132" i="2"/>
  <c r="E103" i="2"/>
  <c r="E118" i="2"/>
  <c r="E104" i="2"/>
  <c r="E133" i="2"/>
  <c r="E129" i="2"/>
  <c r="H6" i="10"/>
  <c r="H5" i="10" s="1"/>
  <c r="G40" i="10"/>
  <c r="G43" i="10" s="1"/>
  <c r="F44" i="5"/>
  <c r="H6" i="1"/>
  <c r="G5" i="1"/>
  <c r="E50" i="1"/>
  <c r="I6" i="17"/>
  <c r="E120" i="2" l="1"/>
  <c r="E125" i="2" s="1"/>
  <c r="G79" i="2"/>
  <c r="G50" i="1" s="1"/>
  <c r="H5" i="1"/>
  <c r="I6" i="1"/>
  <c r="I6" i="10"/>
  <c r="I5" i="10" s="1"/>
  <c r="H40" i="10"/>
  <c r="H43" i="10" s="1"/>
  <c r="G41" i="17"/>
  <c r="G86" i="2"/>
  <c r="G35" i="10"/>
  <c r="G39" i="29"/>
  <c r="H5" i="4"/>
  <c r="I6" i="4"/>
  <c r="J6" i="15"/>
  <c r="I5" i="15"/>
  <c r="I6" i="27"/>
  <c r="H5" i="27"/>
  <c r="H5" i="3"/>
  <c r="I6" i="3"/>
  <c r="H5" i="19"/>
  <c r="I6" i="19"/>
  <c r="F103" i="2"/>
  <c r="F128" i="2"/>
  <c r="F133" i="2"/>
  <c r="F102" i="2"/>
  <c r="F129" i="2"/>
  <c r="F119" i="2"/>
  <c r="F101" i="2"/>
  <c r="F118" i="2"/>
  <c r="F105" i="2"/>
  <c r="F130" i="2"/>
  <c r="F132" i="2"/>
  <c r="F131" i="2"/>
  <c r="F104" i="2"/>
  <c r="E134" i="2"/>
  <c r="D136" i="2"/>
  <c r="D137" i="2"/>
  <c r="I6" i="11"/>
  <c r="H5" i="11"/>
  <c r="I6" i="29"/>
  <c r="I5" i="29" s="1"/>
  <c r="F23" i="29"/>
  <c r="H78" i="2"/>
  <c r="I6" i="2"/>
  <c r="H77" i="2"/>
  <c r="H5" i="2"/>
  <c r="H5" i="20"/>
  <c r="I6" i="20"/>
  <c r="H33" i="28"/>
  <c r="G32" i="28"/>
  <c r="G35" i="28"/>
  <c r="H34" i="10" s="1"/>
  <c r="G34" i="28"/>
  <c r="G36" i="28"/>
  <c r="H99" i="5"/>
  <c r="H93" i="5"/>
  <c r="H87" i="5"/>
  <c r="H81" i="5"/>
  <c r="H96" i="5"/>
  <c r="H90" i="5"/>
  <c r="H84" i="5"/>
  <c r="H66" i="5"/>
  <c r="H50" i="5"/>
  <c r="H70" i="5"/>
  <c r="H71" i="5" s="1"/>
  <c r="H58" i="5"/>
  <c r="H74" i="5"/>
  <c r="H75" i="5" s="1"/>
  <c r="H62" i="5"/>
  <c r="H54" i="5"/>
  <c r="H5" i="5"/>
  <c r="I6" i="5"/>
  <c r="D125" i="2"/>
  <c r="D124" i="2"/>
  <c r="J6" i="17"/>
  <c r="I5" i="17"/>
  <c r="E124" i="2" l="1"/>
  <c r="G23" i="29"/>
  <c r="D140" i="2"/>
  <c r="D141" i="2"/>
  <c r="I33" i="28"/>
  <c r="H32" i="28"/>
  <c r="H35" i="28"/>
  <c r="I34" i="10" s="1"/>
  <c r="H36" i="28"/>
  <c r="H34" i="28"/>
  <c r="H79" i="2"/>
  <c r="F120" i="2"/>
  <c r="F134" i="2"/>
  <c r="J6" i="19"/>
  <c r="I5" i="19"/>
  <c r="G133" i="2"/>
  <c r="G102" i="2"/>
  <c r="G129" i="2"/>
  <c r="G104" i="2"/>
  <c r="G105" i="2"/>
  <c r="G101" i="2"/>
  <c r="G128" i="2"/>
  <c r="G130" i="2"/>
  <c r="G132" i="2"/>
  <c r="G131" i="2"/>
  <c r="G119" i="2"/>
  <c r="G118" i="2"/>
  <c r="G103" i="2"/>
  <c r="H44" i="5"/>
  <c r="H41" i="17"/>
  <c r="H35" i="10"/>
  <c r="H39" i="29"/>
  <c r="H23" i="29" s="1"/>
  <c r="H86" i="2"/>
  <c r="J6" i="20"/>
  <c r="I5" i="20"/>
  <c r="J6" i="10"/>
  <c r="J5" i="10" s="1"/>
  <c r="I40" i="10"/>
  <c r="I43" i="10" s="1"/>
  <c r="J6" i="1"/>
  <c r="I5" i="1"/>
  <c r="I96" i="5"/>
  <c r="I90" i="5"/>
  <c r="I84" i="5"/>
  <c r="I81" i="5"/>
  <c r="I70" i="5"/>
  <c r="I71" i="5" s="1"/>
  <c r="I44" i="5" s="1"/>
  <c r="I54" i="5"/>
  <c r="J6" i="5"/>
  <c r="I87" i="5"/>
  <c r="I93" i="5"/>
  <c r="I74" i="5"/>
  <c r="I75" i="5" s="1"/>
  <c r="I45" i="5" s="1"/>
  <c r="I62" i="5"/>
  <c r="I99" i="5"/>
  <c r="I66" i="5"/>
  <c r="I50" i="5"/>
  <c r="I58" i="5"/>
  <c r="I5" i="5"/>
  <c r="H45" i="5"/>
  <c r="J6" i="11"/>
  <c r="I5" i="11"/>
  <c r="I5" i="27"/>
  <c r="J6" i="27"/>
  <c r="I78" i="2"/>
  <c r="I77" i="2"/>
  <c r="I5" i="2"/>
  <c r="J6" i="2"/>
  <c r="J6" i="29"/>
  <c r="J5" i="29" s="1"/>
  <c r="E137" i="2"/>
  <c r="E141" i="2" s="1"/>
  <c r="E136" i="2"/>
  <c r="E140" i="2" s="1"/>
  <c r="J6" i="3"/>
  <c r="I5" i="3"/>
  <c r="K6" i="15"/>
  <c r="K5" i="15" s="1"/>
  <c r="J5" i="15"/>
  <c r="J6" i="4"/>
  <c r="I5" i="4"/>
  <c r="K6" i="17"/>
  <c r="J5" i="17"/>
  <c r="D142" i="2" l="1"/>
  <c r="E142" i="2"/>
  <c r="J50" i="15"/>
  <c r="K6" i="3"/>
  <c r="K5" i="3" s="1"/>
  <c r="J5" i="3"/>
  <c r="K6" i="19"/>
  <c r="K5" i="19" s="1"/>
  <c r="J5" i="19"/>
  <c r="H50" i="1"/>
  <c r="I39" i="29"/>
  <c r="I86" i="2"/>
  <c r="I35" i="10"/>
  <c r="I41" i="17"/>
  <c r="I32" i="28"/>
  <c r="J33" i="28"/>
  <c r="I35" i="28"/>
  <c r="J34" i="10" s="1"/>
  <c r="I36" i="28"/>
  <c r="I34" i="28"/>
  <c r="J40" i="10"/>
  <c r="J43" i="10" s="1"/>
  <c r="K6" i="10"/>
  <c r="K5" i="10" s="1"/>
  <c r="K6" i="20"/>
  <c r="K5" i="20" s="1"/>
  <c r="J5" i="20"/>
  <c r="F136" i="2"/>
  <c r="F137" i="2"/>
  <c r="K6" i="29"/>
  <c r="K5" i="29" s="1"/>
  <c r="I79" i="2"/>
  <c r="H101" i="2"/>
  <c r="H130" i="2"/>
  <c r="H132" i="2"/>
  <c r="H131" i="2"/>
  <c r="H118" i="2"/>
  <c r="H104" i="2"/>
  <c r="H103" i="2"/>
  <c r="H102" i="2"/>
  <c r="H129" i="2"/>
  <c r="H128" i="2"/>
  <c r="H105" i="2"/>
  <c r="H119" i="2"/>
  <c r="H133" i="2"/>
  <c r="F125" i="2"/>
  <c r="F124" i="2"/>
  <c r="K50" i="15"/>
  <c r="K5" i="17"/>
  <c r="L47" i="17"/>
  <c r="K6" i="4"/>
  <c r="K5" i="4" s="1"/>
  <c r="J5" i="4"/>
  <c r="J77" i="2"/>
  <c r="J78" i="2"/>
  <c r="K6" i="2"/>
  <c r="L56" i="2" s="1"/>
  <c r="J5" i="2"/>
  <c r="L47" i="2"/>
  <c r="L51" i="2"/>
  <c r="L63" i="2"/>
  <c r="L58" i="2"/>
  <c r="L27" i="2"/>
  <c r="K6" i="27"/>
  <c r="J5" i="27"/>
  <c r="J5" i="11"/>
  <c r="K6" i="11"/>
  <c r="K5" i="11" s="1"/>
  <c r="J96" i="5"/>
  <c r="J90" i="5"/>
  <c r="J84" i="5"/>
  <c r="J99" i="5"/>
  <c r="J93" i="5"/>
  <c r="J87" i="5"/>
  <c r="J81" i="5"/>
  <c r="J58" i="5"/>
  <c r="J5" i="5"/>
  <c r="J74" i="5"/>
  <c r="J75" i="5" s="1"/>
  <c r="J66" i="5"/>
  <c r="J70" i="5"/>
  <c r="J71" i="5" s="1"/>
  <c r="J54" i="5"/>
  <c r="J50" i="5"/>
  <c r="J62" i="5"/>
  <c r="K6" i="5"/>
  <c r="L16" i="5" s="1"/>
  <c r="K6" i="1"/>
  <c r="J5" i="1"/>
  <c r="L41" i="2"/>
  <c r="L46" i="2"/>
  <c r="G120" i="2"/>
  <c r="G134" i="2"/>
  <c r="L26" i="2"/>
  <c r="L53" i="2"/>
  <c r="L23" i="2" l="1"/>
  <c r="L17" i="5"/>
  <c r="L40" i="2"/>
  <c r="L42" i="2" s="1"/>
  <c r="L24" i="2"/>
  <c r="L50" i="2"/>
  <c r="L69" i="5"/>
  <c r="L62" i="2"/>
  <c r="L52" i="2"/>
  <c r="L59" i="2"/>
  <c r="L73" i="5"/>
  <c r="L64" i="2"/>
  <c r="L55" i="2"/>
  <c r="L54" i="2"/>
  <c r="J79" i="2"/>
  <c r="J50" i="1" s="1"/>
  <c r="K99" i="5"/>
  <c r="K93" i="5"/>
  <c r="K87" i="5"/>
  <c r="K81" i="5"/>
  <c r="K84" i="5"/>
  <c r="K74" i="5"/>
  <c r="K75" i="5" s="1"/>
  <c r="K45" i="5" s="1"/>
  <c r="K62" i="5"/>
  <c r="K90" i="5"/>
  <c r="K96" i="5"/>
  <c r="K70" i="5"/>
  <c r="K71" i="5" s="1"/>
  <c r="L71" i="5" s="1"/>
  <c r="K54" i="5"/>
  <c r="K58" i="5"/>
  <c r="K5" i="5"/>
  <c r="K66" i="5"/>
  <c r="K50" i="5"/>
  <c r="J44" i="5"/>
  <c r="F140" i="2"/>
  <c r="H120" i="2"/>
  <c r="K32" i="10"/>
  <c r="K40" i="10"/>
  <c r="K43" i="10" s="1"/>
  <c r="J35" i="10"/>
  <c r="J41" i="17"/>
  <c r="J39" i="29"/>
  <c r="J14" i="19"/>
  <c r="J86" i="2"/>
  <c r="I101" i="2"/>
  <c r="I119" i="2"/>
  <c r="I105" i="2"/>
  <c r="I132" i="2"/>
  <c r="I131" i="2"/>
  <c r="I130" i="2"/>
  <c r="I128" i="2"/>
  <c r="I118" i="2"/>
  <c r="I102" i="2"/>
  <c r="I104" i="2"/>
  <c r="I103" i="2"/>
  <c r="I133" i="2"/>
  <c r="I129" i="2"/>
  <c r="G137" i="2"/>
  <c r="G136" i="2"/>
  <c r="G124" i="2"/>
  <c r="G125" i="2"/>
  <c r="K77" i="2"/>
  <c r="K78" i="2"/>
  <c r="K5" i="2"/>
  <c r="L77" i="2"/>
  <c r="L25" i="2"/>
  <c r="F141" i="2"/>
  <c r="I23" i="29"/>
  <c r="J45" i="5"/>
  <c r="K5" i="27"/>
  <c r="I50" i="1"/>
  <c r="K5" i="1"/>
  <c r="H134" i="2"/>
  <c r="J32" i="28"/>
  <c r="J35" i="28"/>
  <c r="K34" i="10" s="1"/>
  <c r="J36" i="28"/>
  <c r="J34" i="28"/>
  <c r="L45" i="5" l="1"/>
  <c r="L75" i="5"/>
  <c r="G141" i="2"/>
  <c r="L79" i="2"/>
  <c r="K79" i="2"/>
  <c r="K50" i="1" s="1"/>
  <c r="N50" i="1" s="1"/>
  <c r="J23" i="29"/>
  <c r="M75" i="5"/>
  <c r="G140" i="2"/>
  <c r="I120" i="2"/>
  <c r="I125" i="2" s="1"/>
  <c r="F142" i="2"/>
  <c r="K35" i="10"/>
  <c r="K14" i="19"/>
  <c r="K39" i="29"/>
  <c r="K86" i="2"/>
  <c r="K41" i="17"/>
  <c r="M50" i="1"/>
  <c r="H136" i="2"/>
  <c r="H137" i="2"/>
  <c r="H125" i="2"/>
  <c r="H124" i="2"/>
  <c r="K44" i="5"/>
  <c r="M44" i="5" s="1"/>
  <c r="M71" i="5"/>
  <c r="M45" i="5"/>
  <c r="M77" i="2"/>
  <c r="I134" i="2"/>
  <c r="J101" i="2"/>
  <c r="J119" i="2"/>
  <c r="J105" i="2"/>
  <c r="J131" i="2"/>
  <c r="J130" i="2"/>
  <c r="J104" i="2"/>
  <c r="J103" i="2"/>
  <c r="J118" i="2"/>
  <c r="J129" i="2"/>
  <c r="J128" i="2"/>
  <c r="J133" i="2"/>
  <c r="J102" i="2"/>
  <c r="J132" i="2"/>
  <c r="L44" i="5" l="1"/>
  <c r="G142" i="2"/>
  <c r="M79" i="2"/>
  <c r="I124" i="2"/>
  <c r="K23" i="29"/>
  <c r="H141" i="2"/>
  <c r="J134" i="2"/>
  <c r="I136" i="2"/>
  <c r="I137" i="2"/>
  <c r="I141" i="2" s="1"/>
  <c r="H140" i="2"/>
  <c r="J120" i="2"/>
  <c r="K131" i="2"/>
  <c r="M131" i="2" s="1"/>
  <c r="K130" i="2"/>
  <c r="M130" i="2" s="1"/>
  <c r="K104" i="2"/>
  <c r="M104" i="2" s="1"/>
  <c r="K105" i="2"/>
  <c r="M105" i="2" s="1"/>
  <c r="K103" i="2"/>
  <c r="M103" i="2" s="1"/>
  <c r="K118" i="2"/>
  <c r="M118" i="2" s="1"/>
  <c r="K132" i="2"/>
  <c r="M132" i="2" s="1"/>
  <c r="K101" i="2"/>
  <c r="M101" i="2" s="1"/>
  <c r="K119" i="2"/>
  <c r="L119" i="2" s="1"/>
  <c r="K129" i="2"/>
  <c r="M129" i="2" s="1"/>
  <c r="K128" i="2"/>
  <c r="L128" i="2" s="1"/>
  <c r="K133" i="2"/>
  <c r="M133" i="2" s="1"/>
  <c r="K102" i="2"/>
  <c r="M102" i="2" s="1"/>
  <c r="I140" i="2" l="1"/>
  <c r="L132" i="2"/>
  <c r="L102" i="2"/>
  <c r="L105" i="2"/>
  <c r="L101" i="2"/>
  <c r="L104" i="2"/>
  <c r="L103" i="2"/>
  <c r="L133" i="2"/>
  <c r="L130" i="2"/>
  <c r="L129" i="2"/>
  <c r="L131" i="2"/>
  <c r="L118" i="2"/>
  <c r="L120" i="2" s="1"/>
  <c r="J136" i="2"/>
  <c r="J137" i="2"/>
  <c r="M128" i="2"/>
  <c r="K134" i="2"/>
  <c r="L134" i="2" s="1"/>
  <c r="J124" i="2"/>
  <c r="J125" i="2"/>
  <c r="H142" i="2"/>
  <c r="K120" i="2"/>
  <c r="I142" i="2"/>
  <c r="M119" i="2"/>
  <c r="M120" i="2" s="1"/>
  <c r="J141" i="2" l="1"/>
  <c r="K124" i="2"/>
  <c r="M124" i="2" s="1"/>
  <c r="K125" i="2"/>
  <c r="L125" i="2" s="1"/>
  <c r="J140" i="2"/>
  <c r="K136" i="2"/>
  <c r="M136" i="2" s="1"/>
  <c r="K137" i="2"/>
  <c r="M137" i="2" s="1"/>
  <c r="M134" i="2"/>
  <c r="L124" i="2" l="1"/>
  <c r="L136" i="2"/>
  <c r="L137" i="2"/>
  <c r="K141" i="2"/>
  <c r="M141" i="2" s="1"/>
  <c r="K140" i="2"/>
  <c r="L140" i="2" s="1"/>
  <c r="J142" i="2"/>
  <c r="M125" i="2"/>
  <c r="L141" i="2" l="1"/>
  <c r="K142" i="2"/>
  <c r="M142" i="2" s="1"/>
  <c r="M140" i="2"/>
  <c r="L142" i="2" l="1"/>
  <c r="G19" i="29" l="1"/>
  <c r="F19" i="29"/>
  <c r="E19" i="29"/>
  <c r="D19" i="29"/>
  <c r="H19" i="29" l="1"/>
  <c r="I64" i="4" l="1"/>
  <c r="I45" i="4"/>
  <c r="D36" i="19" l="1"/>
  <c r="D35" i="19"/>
  <c r="G45" i="4" l="1"/>
  <c r="E64" i="4"/>
  <c r="G18" i="15"/>
  <c r="G23" i="15" s="1"/>
  <c r="H78" i="15"/>
  <c r="D78" i="15"/>
  <c r="E13" i="11"/>
  <c r="F45" i="4"/>
  <c r="H64" i="4"/>
  <c r="D64" i="4"/>
  <c r="F18" i="15"/>
  <c r="F23" i="15" s="1"/>
  <c r="F46" i="15"/>
  <c r="F48" i="15" s="1"/>
  <c r="H46" i="15"/>
  <c r="G78" i="15"/>
  <c r="H13" i="11"/>
  <c r="D13" i="11"/>
  <c r="E45" i="4"/>
  <c r="G64" i="4"/>
  <c r="E18" i="15"/>
  <c r="E23" i="15" s="1"/>
  <c r="E46" i="15"/>
  <c r="E48" i="15" s="1"/>
  <c r="G46" i="15"/>
  <c r="F78" i="15"/>
  <c r="G13" i="11"/>
  <c r="H45" i="4"/>
  <c r="D45" i="4"/>
  <c r="F64" i="4"/>
  <c r="H18" i="15"/>
  <c r="H23" i="15" s="1"/>
  <c r="D18" i="15"/>
  <c r="D23" i="15" s="1"/>
  <c r="D46" i="15"/>
  <c r="E78" i="15"/>
  <c r="F13" i="11"/>
  <c r="G48" i="15" l="1"/>
  <c r="D48" i="15"/>
  <c r="D80" i="15" s="1"/>
  <c r="F50" i="15"/>
  <c r="F80" i="15"/>
  <c r="I46" i="15"/>
  <c r="G80" i="15"/>
  <c r="G50" i="15"/>
  <c r="I18" i="15"/>
  <c r="I23" i="15" s="1"/>
  <c r="E80" i="15"/>
  <c r="E50" i="15"/>
  <c r="I78" i="15"/>
  <c r="H48" i="15"/>
  <c r="D50" i="15" l="1"/>
  <c r="L50" i="17"/>
  <c r="M50" i="17"/>
  <c r="G52" i="27"/>
  <c r="K52" i="27"/>
  <c r="L51" i="17"/>
  <c r="M51" i="17"/>
  <c r="D52" i="27"/>
  <c r="H52" i="27"/>
  <c r="H80" i="15"/>
  <c r="H50" i="15"/>
  <c r="M48" i="17"/>
  <c r="L48" i="17"/>
  <c r="L52" i="17"/>
  <c r="M52" i="17"/>
  <c r="E52" i="27"/>
  <c r="I52" i="27"/>
  <c r="I48" i="15"/>
  <c r="M49" i="17"/>
  <c r="L49" i="17"/>
  <c r="L53" i="17"/>
  <c r="M53" i="17"/>
  <c r="F52" i="27"/>
  <c r="J52" i="27"/>
  <c r="K23" i="27" l="1"/>
  <c r="K42" i="27" s="1"/>
  <c r="D28" i="17"/>
  <c r="D30" i="17" s="1"/>
  <c r="D33" i="17" s="1"/>
  <c r="G23" i="27"/>
  <c r="H8" i="27"/>
  <c r="I55" i="17"/>
  <c r="I56" i="17" s="1"/>
  <c r="F8" i="27"/>
  <c r="E23" i="27"/>
  <c r="G55" i="17"/>
  <c r="G56" i="17" s="1"/>
  <c r="F55" i="17"/>
  <c r="F56" i="17" s="1"/>
  <c r="K55" i="17"/>
  <c r="K56" i="17" s="1"/>
  <c r="I50" i="15"/>
  <c r="I80" i="15"/>
  <c r="J55" i="17"/>
  <c r="J56" i="17" s="1"/>
  <c r="J8" i="27"/>
  <c r="I23" i="27"/>
  <c r="E55" i="17"/>
  <c r="E56" i="17" s="1"/>
  <c r="H55" i="17"/>
  <c r="H56" i="17" s="1"/>
  <c r="E28" i="17" l="1"/>
  <c r="E30" i="17" s="1"/>
  <c r="E33" i="17" s="1"/>
  <c r="I28" i="17"/>
  <c r="I30" i="17" s="1"/>
  <c r="I33" i="17" s="1"/>
  <c r="K28" i="17"/>
  <c r="K30" i="17" s="1"/>
  <c r="K33" i="17" s="1"/>
  <c r="J28" i="17"/>
  <c r="J30" i="17" s="1"/>
  <c r="J33" i="17" s="1"/>
  <c r="G28" i="17"/>
  <c r="G30" i="17" s="1"/>
  <c r="G33" i="17" s="1"/>
  <c r="H28" i="17"/>
  <c r="H30" i="17" s="1"/>
  <c r="H33" i="17" s="1"/>
  <c r="F28" i="17"/>
  <c r="F30" i="17" s="1"/>
  <c r="F33" i="17" s="1"/>
  <c r="M46" i="17"/>
  <c r="D55" i="17"/>
  <c r="L46" i="17"/>
  <c r="G42" i="27"/>
  <c r="G8" i="27"/>
  <c r="F23" i="27"/>
  <c r="I42" i="27"/>
  <c r="E42" i="27"/>
  <c r="J23" i="27"/>
  <c r="K8" i="27"/>
  <c r="K44" i="27"/>
  <c r="K48" i="27" s="1"/>
  <c r="D23" i="27"/>
  <c r="E8" i="27"/>
  <c r="I8" i="27"/>
  <c r="H23" i="27"/>
  <c r="J42" i="27" l="1"/>
  <c r="L55" i="17"/>
  <c r="M55" i="17"/>
  <c r="D56" i="17"/>
  <c r="E44" i="27"/>
  <c r="E48" i="27" s="1"/>
  <c r="F47" i="27" s="1"/>
  <c r="I44" i="27"/>
  <c r="I48" i="27" s="1"/>
  <c r="J47" i="27" s="1"/>
  <c r="D42" i="27"/>
  <c r="F42" i="27"/>
  <c r="G44" i="27"/>
  <c r="G48" i="27" s="1"/>
  <c r="H47" i="27" s="1"/>
  <c r="H42" i="27"/>
  <c r="H44" i="27" l="1"/>
  <c r="H48" i="27" s="1"/>
  <c r="I47" i="27" s="1"/>
  <c r="I54" i="27" s="1"/>
  <c r="D44" i="27"/>
  <c r="D48" i="27" s="1"/>
  <c r="H54" i="27"/>
  <c r="F44" i="27"/>
  <c r="F48" i="27" s="1"/>
  <c r="G47" i="27" s="1"/>
  <c r="G54" i="27" s="1"/>
  <c r="L56" i="17"/>
  <c r="M56" i="17"/>
  <c r="J44" i="27"/>
  <c r="J48" i="27" s="1"/>
  <c r="K47" i="27" s="1"/>
  <c r="K54" i="27" s="1"/>
  <c r="J54" i="27" l="1"/>
  <c r="G39" i="17"/>
  <c r="E47" i="27"/>
  <c r="E54" i="27" s="1"/>
  <c r="D54" i="27"/>
  <c r="J39" i="17"/>
  <c r="K39" i="17"/>
  <c r="H39" i="17"/>
  <c r="F54" i="27"/>
  <c r="I39" i="17"/>
  <c r="E39" i="17" l="1"/>
  <c r="J43" i="17"/>
  <c r="J65" i="17"/>
  <c r="K65" i="17"/>
  <c r="K43" i="17"/>
  <c r="G65" i="17"/>
  <c r="G43" i="17"/>
  <c r="H65" i="17"/>
  <c r="H43" i="17"/>
  <c r="F39" i="17"/>
  <c r="I65" i="17"/>
  <c r="I43" i="17"/>
  <c r="D39" i="17"/>
  <c r="D65" i="17" l="1"/>
  <c r="D43" i="17"/>
  <c r="E65" i="17"/>
  <c r="E43" i="17"/>
  <c r="F65" i="17"/>
  <c r="F43" i="17"/>
  <c r="M43" i="17" l="1"/>
  <c r="L43" i="17"/>
  <c r="H66" i="4" l="1"/>
  <c r="H68" i="4" s="1"/>
  <c r="G66" i="4"/>
  <c r="G68" i="4" s="1"/>
  <c r="F66" i="4"/>
  <c r="F68" i="4" s="1"/>
  <c r="E66" i="4"/>
  <c r="E68" i="4" s="1"/>
  <c r="D66" i="4"/>
  <c r="D68" i="4" s="1"/>
  <c r="I66" i="4"/>
  <c r="I68" i="4" s="1"/>
  <c r="G14" i="4"/>
  <c r="F14" i="4"/>
  <c r="E14" i="4"/>
  <c r="D14" i="4"/>
  <c r="H14" i="4" l="1"/>
  <c r="I14" i="4" l="1"/>
  <c r="H14" i="19" l="1"/>
  <c r="F14" i="19"/>
  <c r="G14" i="19"/>
  <c r="D14" i="19"/>
  <c r="E14" i="19"/>
  <c r="I14" i="19"/>
  <c r="G21" i="20" l="1"/>
  <c r="G8" i="20" s="1"/>
  <c r="G57" i="1" s="1"/>
  <c r="D21" i="20"/>
  <c r="D8" i="20" s="1"/>
  <c r="D57" i="1" s="1"/>
  <c r="H21" i="20"/>
  <c r="H8" i="20" s="1"/>
  <c r="H57" i="1" s="1"/>
  <c r="E21" i="20"/>
  <c r="E8" i="20" s="1"/>
  <c r="E57" i="1" s="1"/>
  <c r="I21" i="20"/>
  <c r="I8" i="20" s="1"/>
  <c r="I57" i="1" s="1"/>
  <c r="F21" i="20"/>
  <c r="F8" i="20" s="1"/>
  <c r="F57" i="1" s="1"/>
  <c r="K21" i="20" l="1"/>
  <c r="K8" i="20" s="1"/>
  <c r="K57" i="1" s="1"/>
  <c r="J21" i="20"/>
  <c r="J8" i="20" s="1"/>
  <c r="J57" i="1" s="1"/>
  <c r="M57" i="1" l="1"/>
  <c r="N57" i="1"/>
  <c r="J17" i="3" l="1"/>
  <c r="J18" i="4" s="1"/>
  <c r="I17" i="3"/>
  <c r="I18" i="4" s="1"/>
  <c r="H17" i="3"/>
  <c r="H18" i="4" s="1"/>
  <c r="G17" i="3"/>
  <c r="G18" i="4" s="1"/>
  <c r="F17" i="3"/>
  <c r="F18" i="4" s="1"/>
  <c r="E17" i="3"/>
  <c r="E18" i="4" s="1"/>
  <c r="D17" i="3"/>
  <c r="D18" i="4" s="1"/>
  <c r="G90" i="2" l="1"/>
  <c r="H90" i="2"/>
  <c r="E90" i="2"/>
  <c r="I90" i="2"/>
  <c r="K90" i="2"/>
  <c r="F90" i="2"/>
  <c r="J90" i="2"/>
  <c r="K81" i="15" l="1"/>
  <c r="K82" i="15"/>
  <c r="J81" i="15"/>
  <c r="J82" i="15"/>
  <c r="F91" i="2"/>
  <c r="F92" i="2" s="1"/>
  <c r="F14" i="2"/>
  <c r="F81" i="15"/>
  <c r="F82" i="15"/>
  <c r="H14" i="2"/>
  <c r="H91" i="2"/>
  <c r="H92" i="2" s="1"/>
  <c r="H82" i="15"/>
  <c r="H81" i="15"/>
  <c r="G14" i="2"/>
  <c r="G91" i="2"/>
  <c r="G92" i="2" s="1"/>
  <c r="D91" i="2"/>
  <c r="L13" i="2"/>
  <c r="D14" i="2"/>
  <c r="M13" i="2"/>
  <c r="M12" i="2"/>
  <c r="D90" i="2"/>
  <c r="L12" i="2"/>
  <c r="G82" i="15"/>
  <c r="G81" i="15"/>
  <c r="I91" i="2"/>
  <c r="I92" i="2" s="1"/>
  <c r="I14" i="2"/>
  <c r="I81" i="15"/>
  <c r="I82" i="15"/>
  <c r="J91" i="2"/>
  <c r="J92" i="2" s="1"/>
  <c r="J14" i="2"/>
  <c r="K14" i="2"/>
  <c r="K91" i="2"/>
  <c r="K92" i="2" s="1"/>
  <c r="E91" i="2"/>
  <c r="E92" i="2" s="1"/>
  <c r="E14" i="2"/>
  <c r="E81" i="15"/>
  <c r="E82" i="15"/>
  <c r="M14" i="2" l="1"/>
  <c r="K96" i="2"/>
  <c r="K97" i="2"/>
  <c r="J97" i="2"/>
  <c r="J96" i="2"/>
  <c r="I18" i="2"/>
  <c r="I19" i="2"/>
  <c r="E19" i="2"/>
  <c r="E18" i="2"/>
  <c r="K19" i="2"/>
  <c r="K18" i="2"/>
  <c r="I96" i="2"/>
  <c r="I97" i="2"/>
  <c r="D82" i="15"/>
  <c r="M90" i="2"/>
  <c r="L90" i="2"/>
  <c r="D81" i="15"/>
  <c r="D19" i="2"/>
  <c r="D18" i="2"/>
  <c r="G97" i="2"/>
  <c r="G96" i="2"/>
  <c r="E96" i="2"/>
  <c r="E97" i="2"/>
  <c r="L14" i="2"/>
  <c r="G18" i="2"/>
  <c r="G19" i="2"/>
  <c r="H96" i="2"/>
  <c r="H97" i="2"/>
  <c r="F18" i="2"/>
  <c r="F19" i="2"/>
  <c r="J18" i="2"/>
  <c r="J19" i="2"/>
  <c r="L91" i="2"/>
  <c r="M91" i="2"/>
  <c r="D92" i="2"/>
  <c r="H19" i="2"/>
  <c r="H18" i="2"/>
  <c r="F97" i="2"/>
  <c r="F96" i="2"/>
  <c r="L92" i="2" l="1"/>
  <c r="M92" i="2"/>
  <c r="L18" i="2"/>
  <c r="M18" i="2"/>
  <c r="D97" i="2"/>
  <c r="D96" i="2"/>
  <c r="M19" i="2"/>
  <c r="L19" i="2"/>
  <c r="M96" i="2" l="1"/>
  <c r="L96" i="2"/>
  <c r="M97" i="2"/>
  <c r="L97" i="2"/>
  <c r="E28" i="3" l="1"/>
  <c r="E56" i="1" s="1"/>
  <c r="E12" i="3"/>
  <c r="E17" i="4" s="1"/>
  <c r="D28" i="3"/>
  <c r="D56" i="1" s="1"/>
  <c r="D12" i="3"/>
  <c r="D17" i="4" s="1"/>
  <c r="F28" i="3" l="1"/>
  <c r="F56" i="1" s="1"/>
  <c r="F12" i="3"/>
  <c r="F17" i="4" s="1"/>
  <c r="G28" i="3"/>
  <c r="G56" i="1" s="1"/>
  <c r="G12" i="3"/>
  <c r="G17" i="4" s="1"/>
  <c r="H28" i="3" l="1"/>
  <c r="H56" i="1" s="1"/>
  <c r="H12" i="3"/>
  <c r="H17" i="4" s="1"/>
  <c r="I28" i="3"/>
  <c r="I56" i="1" s="1"/>
  <c r="I12" i="3"/>
  <c r="I17" i="4" s="1"/>
  <c r="J28" i="3" l="1"/>
  <c r="J56" i="1" s="1"/>
  <c r="J12" i="3"/>
  <c r="J17" i="4" s="1"/>
  <c r="K100" i="2" l="1"/>
  <c r="K106" i="2" s="1"/>
  <c r="K28" i="2"/>
  <c r="H28" i="2"/>
  <c r="H100" i="2"/>
  <c r="H106" i="2" s="1"/>
  <c r="D28" i="2"/>
  <c r="M22" i="2"/>
  <c r="D100" i="2"/>
  <c r="L22" i="2"/>
  <c r="E28" i="2"/>
  <c r="E100" i="2"/>
  <c r="E106" i="2" s="1"/>
  <c r="I100" i="2"/>
  <c r="I106" i="2" s="1"/>
  <c r="I28" i="2"/>
  <c r="G28" i="2"/>
  <c r="G100" i="2"/>
  <c r="G106" i="2" s="1"/>
  <c r="F100" i="2"/>
  <c r="F106" i="2" s="1"/>
  <c r="F28" i="2"/>
  <c r="J28" i="2"/>
  <c r="J100" i="2"/>
  <c r="J106" i="2" s="1"/>
  <c r="J30" i="2" l="1"/>
  <c r="J34" i="2" s="1"/>
  <c r="J31" i="2"/>
  <c r="J35" i="2" s="1"/>
  <c r="G31" i="2"/>
  <c r="G35" i="2" s="1"/>
  <c r="G30" i="2"/>
  <c r="G34" i="2" s="1"/>
  <c r="I109" i="2"/>
  <c r="I113" i="2" s="1"/>
  <c r="I148" i="2" s="1"/>
  <c r="I108" i="2"/>
  <c r="I112" i="2" s="1"/>
  <c r="L100" i="2"/>
  <c r="M100" i="2"/>
  <c r="D106" i="2"/>
  <c r="H31" i="2"/>
  <c r="H35" i="2" s="1"/>
  <c r="H30" i="2"/>
  <c r="H34" i="2" s="1"/>
  <c r="F30" i="2"/>
  <c r="F34" i="2" s="1"/>
  <c r="F31" i="2"/>
  <c r="F35" i="2" s="1"/>
  <c r="E108" i="2"/>
  <c r="E112" i="2" s="1"/>
  <c r="E109" i="2"/>
  <c r="E113" i="2" s="1"/>
  <c r="E148" i="2" s="1"/>
  <c r="K31" i="2"/>
  <c r="K35" i="2" s="1"/>
  <c r="K30" i="2"/>
  <c r="K34" i="2" s="1"/>
  <c r="F109" i="2"/>
  <c r="F113" i="2" s="1"/>
  <c r="F148" i="2" s="1"/>
  <c r="F108" i="2"/>
  <c r="F112" i="2" s="1"/>
  <c r="E31" i="2"/>
  <c r="E35" i="2" s="1"/>
  <c r="E30" i="2"/>
  <c r="E34" i="2" s="1"/>
  <c r="M28" i="2"/>
  <c r="D30" i="2"/>
  <c r="D31" i="2"/>
  <c r="L28" i="2"/>
  <c r="K108" i="2"/>
  <c r="K112" i="2" s="1"/>
  <c r="K109" i="2"/>
  <c r="K113" i="2" s="1"/>
  <c r="K148" i="2" s="1"/>
  <c r="J108" i="2"/>
  <c r="J112" i="2" s="1"/>
  <c r="J109" i="2"/>
  <c r="J113" i="2" s="1"/>
  <c r="J148" i="2" s="1"/>
  <c r="G109" i="2"/>
  <c r="G113" i="2" s="1"/>
  <c r="G148" i="2" s="1"/>
  <c r="G108" i="2"/>
  <c r="G112" i="2" s="1"/>
  <c r="I31" i="2"/>
  <c r="I35" i="2" s="1"/>
  <c r="I30" i="2"/>
  <c r="I34" i="2" s="1"/>
  <c r="H109" i="2"/>
  <c r="H113" i="2" s="1"/>
  <c r="H148" i="2" s="1"/>
  <c r="H108" i="2"/>
  <c r="H112" i="2" s="1"/>
  <c r="H114" i="2" l="1"/>
  <c r="H147" i="2"/>
  <c r="H149" i="2" s="1"/>
  <c r="G147" i="2"/>
  <c r="G149" i="2" s="1"/>
  <c r="G114" i="2"/>
  <c r="M31" i="2"/>
  <c r="L31" i="2"/>
  <c r="D35" i="2"/>
  <c r="E70" i="2"/>
  <c r="E49" i="1"/>
  <c r="K36" i="2"/>
  <c r="K69" i="2"/>
  <c r="F49" i="1"/>
  <c r="F70" i="2"/>
  <c r="H49" i="1"/>
  <c r="H70" i="2"/>
  <c r="I114" i="2"/>
  <c r="I147" i="2"/>
  <c r="I149" i="2" s="1"/>
  <c r="J70" i="2"/>
  <c r="J49" i="1"/>
  <c r="M30" i="2"/>
  <c r="L30" i="2"/>
  <c r="D34" i="2"/>
  <c r="F114" i="2"/>
  <c r="F147" i="2"/>
  <c r="F149" i="2" s="1"/>
  <c r="K70" i="2"/>
  <c r="K49" i="1"/>
  <c r="F69" i="2"/>
  <c r="F71" i="2" s="1"/>
  <c r="F36" i="2"/>
  <c r="L106" i="2"/>
  <c r="M106" i="2"/>
  <c r="D108" i="2"/>
  <c r="D109" i="2"/>
  <c r="J69" i="2"/>
  <c r="J71" i="2" s="1"/>
  <c r="J36" i="2"/>
  <c r="I36" i="2"/>
  <c r="I69" i="2"/>
  <c r="K114" i="2"/>
  <c r="K147" i="2"/>
  <c r="K149" i="2" s="1"/>
  <c r="G36" i="2"/>
  <c r="G69" i="2"/>
  <c r="I70" i="2"/>
  <c r="I49" i="1"/>
  <c r="J147" i="2"/>
  <c r="J149" i="2" s="1"/>
  <c r="J114" i="2"/>
  <c r="E69" i="2"/>
  <c r="E36" i="2"/>
  <c r="E114" i="2"/>
  <c r="E147" i="2"/>
  <c r="E149" i="2" s="1"/>
  <c r="H69" i="2"/>
  <c r="H36" i="2"/>
  <c r="G70" i="2"/>
  <c r="G49" i="1"/>
  <c r="G71" i="2" l="1"/>
  <c r="H71" i="2"/>
  <c r="E71" i="2"/>
  <c r="I71" i="2"/>
  <c r="M109" i="2"/>
  <c r="L109" i="2"/>
  <c r="D113" i="2"/>
  <c r="L108" i="2"/>
  <c r="M108" i="2"/>
  <c r="D112" i="2"/>
  <c r="K71" i="2"/>
  <c r="L35" i="2"/>
  <c r="D70" i="2"/>
  <c r="M35" i="2"/>
  <c r="D49" i="1"/>
  <c r="D69" i="2"/>
  <c r="D36" i="2"/>
  <c r="M34" i="2"/>
  <c r="L34" i="2"/>
  <c r="L69" i="2" l="1"/>
  <c r="D71" i="2"/>
  <c r="M69" i="2"/>
  <c r="M70" i="2"/>
  <c r="L70" i="2"/>
  <c r="L113" i="2"/>
  <c r="M113" i="2"/>
  <c r="D148" i="2"/>
  <c r="M36" i="2"/>
  <c r="L36" i="2"/>
  <c r="N49" i="1"/>
  <c r="M49" i="1"/>
  <c r="D114" i="2"/>
  <c r="L112" i="2"/>
  <c r="D147" i="2"/>
  <c r="M112" i="2"/>
  <c r="L114" i="2" l="1"/>
  <c r="M114" i="2"/>
  <c r="M148" i="2"/>
  <c r="L148" i="2"/>
  <c r="M147" i="2"/>
  <c r="D149" i="2"/>
  <c r="L147" i="2"/>
  <c r="M71" i="2"/>
  <c r="L71" i="2"/>
  <c r="M149" i="2" l="1"/>
  <c r="L149" i="2"/>
  <c r="K68" i="29" l="1"/>
  <c r="J68" i="29"/>
  <c r="I68" i="29"/>
  <c r="H68" i="29"/>
  <c r="G68" i="29"/>
  <c r="F68" i="29"/>
  <c r="E68" i="29"/>
  <c r="D68" i="29"/>
  <c r="D18" i="10" l="1"/>
  <c r="K24" i="10" l="1"/>
  <c r="G24" i="10"/>
  <c r="J24" i="10"/>
  <c r="F24" i="10"/>
  <c r="I24" i="10"/>
  <c r="E24" i="10"/>
  <c r="H24" i="10"/>
  <c r="D24" i="10"/>
  <c r="D21" i="10" l="1"/>
  <c r="D29" i="10" s="1"/>
  <c r="D31" i="10"/>
  <c r="E21" i="10"/>
  <c r="E31" i="10"/>
  <c r="F21" i="10"/>
  <c r="F31" i="10"/>
  <c r="G31" i="10"/>
  <c r="G21" i="10"/>
  <c r="H31" i="10"/>
  <c r="H21" i="10"/>
  <c r="I31" i="10"/>
  <c r="I21" i="10"/>
  <c r="J31" i="10"/>
  <c r="J21" i="10"/>
  <c r="K31" i="10"/>
  <c r="K21" i="10"/>
  <c r="E16" i="10" l="1"/>
  <c r="E18" i="10" s="1"/>
  <c r="E29" i="10" s="1"/>
  <c r="D47" i="10"/>
  <c r="D38" i="10"/>
  <c r="D56" i="27" s="1"/>
  <c r="K14" i="4"/>
  <c r="D55" i="27" l="1"/>
  <c r="D57" i="27"/>
  <c r="D46" i="10"/>
  <c r="D45" i="10"/>
  <c r="D63" i="27"/>
  <c r="E47" i="10"/>
  <c r="E38" i="10"/>
  <c r="F16" i="10"/>
  <c r="F18" i="10" s="1"/>
  <c r="F29" i="10" s="1"/>
  <c r="J19" i="29"/>
  <c r="E32" i="10"/>
  <c r="D32" i="10"/>
  <c r="D53" i="10" l="1"/>
  <c r="D49" i="10"/>
  <c r="E56" i="27"/>
  <c r="F56" i="27"/>
  <c r="D65" i="1"/>
  <c r="D54" i="10"/>
  <c r="D50" i="10"/>
  <c r="E46" i="10"/>
  <c r="E63" i="27"/>
  <c r="E45" i="10"/>
  <c r="D47" i="29"/>
  <c r="D59" i="27"/>
  <c r="F47" i="10"/>
  <c r="F38" i="10"/>
  <c r="G16" i="10"/>
  <c r="G18" i="10" s="1"/>
  <c r="G29" i="10" s="1"/>
  <c r="F32" i="10"/>
  <c r="D61" i="27"/>
  <c r="D64" i="27" s="1"/>
  <c r="D62" i="27"/>
  <c r="D66" i="1" s="1"/>
  <c r="D58" i="10" l="1"/>
  <c r="D48" i="1"/>
  <c r="E50" i="10"/>
  <c r="E65" i="1"/>
  <c r="E54" i="10"/>
  <c r="E55" i="27"/>
  <c r="E57" i="27"/>
  <c r="E61" i="27" s="1"/>
  <c r="E64" i="27" s="1"/>
  <c r="D38" i="1"/>
  <c r="D37" i="1"/>
  <c r="D31" i="1"/>
  <c r="D30" i="1"/>
  <c r="E49" i="10"/>
  <c r="E53" i="10"/>
  <c r="E55" i="10" s="1"/>
  <c r="D51" i="10"/>
  <c r="D80" i="17"/>
  <c r="D57" i="10"/>
  <c r="D59" i="10" s="1"/>
  <c r="F57" i="27"/>
  <c r="F55" i="27"/>
  <c r="G38" i="10"/>
  <c r="G56" i="27" s="1"/>
  <c r="G47" i="10"/>
  <c r="H16" i="10"/>
  <c r="H18" i="10" s="1"/>
  <c r="H29" i="10" s="1"/>
  <c r="G32" i="10"/>
  <c r="D63" i="17"/>
  <c r="D66" i="27"/>
  <c r="F45" i="10"/>
  <c r="F46" i="10"/>
  <c r="F63" i="27"/>
  <c r="E62" i="27"/>
  <c r="E66" i="1" s="1"/>
  <c r="D12" i="1"/>
  <c r="D19" i="1"/>
  <c r="D18" i="1"/>
  <c r="D11" i="1"/>
  <c r="D55" i="10"/>
  <c r="F53" i="10" l="1"/>
  <c r="F49" i="10"/>
  <c r="E59" i="27"/>
  <c r="E47" i="29"/>
  <c r="E48" i="1"/>
  <c r="E58" i="10"/>
  <c r="F65" i="1"/>
  <c r="F50" i="10"/>
  <c r="F54" i="10"/>
  <c r="H38" i="10"/>
  <c r="H56" i="27" s="1"/>
  <c r="H32" i="10"/>
  <c r="H47" i="10"/>
  <c r="I16" i="10"/>
  <c r="I18" i="10" s="1"/>
  <c r="I29" i="10" s="1"/>
  <c r="F61" i="27"/>
  <c r="F64" i="27" s="1"/>
  <c r="F47" i="29"/>
  <c r="F59" i="27"/>
  <c r="E37" i="1"/>
  <c r="E38" i="1"/>
  <c r="E31" i="1"/>
  <c r="E30" i="1"/>
  <c r="G46" i="10"/>
  <c r="G63" i="27"/>
  <c r="G45" i="10"/>
  <c r="E80" i="17"/>
  <c r="E57" i="10"/>
  <c r="E51" i="10"/>
  <c r="D10" i="1"/>
  <c r="D29" i="1"/>
  <c r="E12" i="1"/>
  <c r="E19" i="1"/>
  <c r="E18" i="1"/>
  <c r="E11" i="1"/>
  <c r="E63" i="17"/>
  <c r="E66" i="27"/>
  <c r="F62" i="27"/>
  <c r="F66" i="1" s="1"/>
  <c r="D70" i="17"/>
  <c r="D66" i="17"/>
  <c r="D67" i="17" s="1"/>
  <c r="D69" i="17" s="1"/>
  <c r="G55" i="27"/>
  <c r="G57" i="27"/>
  <c r="D86" i="17"/>
  <c r="D88" i="17" l="1"/>
  <c r="D90" i="17" s="1"/>
  <c r="G61" i="27"/>
  <c r="G64" i="27" s="1"/>
  <c r="G62" i="27"/>
  <c r="G66" i="1" s="1"/>
  <c r="F66" i="27"/>
  <c r="F63" i="17"/>
  <c r="F80" i="17"/>
  <c r="F57" i="10"/>
  <c r="F51" i="10"/>
  <c r="E59" i="10"/>
  <c r="G50" i="10"/>
  <c r="G65" i="1"/>
  <c r="G54" i="10"/>
  <c r="I38" i="10"/>
  <c r="I56" i="27" s="1"/>
  <c r="I47" i="10"/>
  <c r="J16" i="10"/>
  <c r="J18" i="10" s="1"/>
  <c r="J29" i="10" s="1"/>
  <c r="I32" i="10"/>
  <c r="E10" i="1"/>
  <c r="E29" i="1"/>
  <c r="F55" i="10"/>
  <c r="H57" i="27"/>
  <c r="H55" i="27"/>
  <c r="E86" i="17"/>
  <c r="H46" i="10"/>
  <c r="H45" i="10"/>
  <c r="H63" i="27"/>
  <c r="F48" i="1"/>
  <c r="F58" i="10"/>
  <c r="G59" i="27"/>
  <c r="G47" i="29"/>
  <c r="F37" i="1"/>
  <c r="F31" i="1"/>
  <c r="F38" i="1"/>
  <c r="F30" i="1"/>
  <c r="E70" i="17"/>
  <c r="E66" i="17"/>
  <c r="E67" i="17" s="1"/>
  <c r="E69" i="17" s="1"/>
  <c r="G53" i="10"/>
  <c r="G55" i="10" s="1"/>
  <c r="G49" i="10"/>
  <c r="F12" i="1"/>
  <c r="F18" i="1"/>
  <c r="F19" i="1"/>
  <c r="F11" i="1"/>
  <c r="F59" i="10" l="1"/>
  <c r="H61" i="27"/>
  <c r="H64" i="27" s="1"/>
  <c r="H62" i="27"/>
  <c r="H66" i="1" s="1"/>
  <c r="J47" i="10"/>
  <c r="K16" i="10"/>
  <c r="K18" i="10" s="1"/>
  <c r="K29" i="10" s="1"/>
  <c r="J32" i="10"/>
  <c r="J38" i="10"/>
  <c r="J56" i="27" s="1"/>
  <c r="G38" i="1"/>
  <c r="G37" i="1"/>
  <c r="G31" i="1"/>
  <c r="G30" i="1"/>
  <c r="H53" i="10"/>
  <c r="H49" i="10"/>
  <c r="I46" i="10"/>
  <c r="I45" i="10"/>
  <c r="I63" i="27"/>
  <c r="G58" i="10"/>
  <c r="G48" i="1"/>
  <c r="F86" i="17"/>
  <c r="G66" i="27"/>
  <c r="G63" i="17"/>
  <c r="G57" i="10"/>
  <c r="G80" i="17"/>
  <c r="G86" i="17" s="1"/>
  <c r="G51" i="10"/>
  <c r="G12" i="1"/>
  <c r="G18" i="1"/>
  <c r="G19" i="1"/>
  <c r="G11" i="1"/>
  <c r="H65" i="1"/>
  <c r="H50" i="10"/>
  <c r="H54" i="10"/>
  <c r="I57" i="27"/>
  <c r="I55" i="27"/>
  <c r="F66" i="17"/>
  <c r="F67" i="17" s="1"/>
  <c r="F69" i="17" s="1"/>
  <c r="F70" i="17"/>
  <c r="F10" i="1"/>
  <c r="F29" i="1"/>
  <c r="E88" i="17"/>
  <c r="H59" i="27"/>
  <c r="H47" i="29"/>
  <c r="F88" i="17" l="1"/>
  <c r="F90" i="17" s="1"/>
  <c r="H55" i="10"/>
  <c r="I61" i="27"/>
  <c r="I64" i="27" s="1"/>
  <c r="I62" i="27"/>
  <c r="I66" i="1" s="1"/>
  <c r="K38" i="10"/>
  <c r="K56" i="27" s="1"/>
  <c r="K47" i="10"/>
  <c r="H66" i="27"/>
  <c r="H63" i="17"/>
  <c r="H19" i="1"/>
  <c r="H18" i="1"/>
  <c r="H12" i="1"/>
  <c r="H11" i="1"/>
  <c r="H31" i="1"/>
  <c r="H38" i="1"/>
  <c r="H37" i="1"/>
  <c r="H30" i="1"/>
  <c r="G70" i="17"/>
  <c r="G66" i="17"/>
  <c r="G67" i="17" s="1"/>
  <c r="G69" i="17" s="1"/>
  <c r="I53" i="10"/>
  <c r="I49" i="10"/>
  <c r="J45" i="10"/>
  <c r="J46" i="10"/>
  <c r="J63" i="27"/>
  <c r="I59" i="27"/>
  <c r="I47" i="29"/>
  <c r="G59" i="10"/>
  <c r="H48" i="1"/>
  <c r="H58" i="10"/>
  <c r="G10" i="1"/>
  <c r="G29" i="1"/>
  <c r="I54" i="10"/>
  <c r="I50" i="10"/>
  <c r="I65" i="1"/>
  <c r="H51" i="10"/>
  <c r="H80" i="17"/>
  <c r="H57" i="10"/>
  <c r="H59" i="10" s="1"/>
  <c r="J55" i="27"/>
  <c r="J57" i="27"/>
  <c r="E90" i="17"/>
  <c r="G88" i="17" l="1"/>
  <c r="G90" i="17" s="1"/>
  <c r="J61" i="27"/>
  <c r="J64" i="27" s="1"/>
  <c r="J62" i="27"/>
  <c r="J66" i="1" s="1"/>
  <c r="K45" i="10"/>
  <c r="K46" i="10"/>
  <c r="K63" i="27"/>
  <c r="J50" i="10"/>
  <c r="J65" i="1"/>
  <c r="J54" i="10"/>
  <c r="K55" i="27"/>
  <c r="K57" i="27"/>
  <c r="J47" i="29"/>
  <c r="J59" i="27"/>
  <c r="H29" i="1"/>
  <c r="H10" i="1"/>
  <c r="J49" i="10"/>
  <c r="J53" i="10"/>
  <c r="J55" i="10" s="1"/>
  <c r="I55" i="10"/>
  <c r="H70" i="17"/>
  <c r="H66" i="17"/>
  <c r="H67" i="17" s="1"/>
  <c r="H69" i="17" s="1"/>
  <c r="I31" i="1"/>
  <c r="I38" i="1"/>
  <c r="I37" i="1"/>
  <c r="I30" i="1"/>
  <c r="I58" i="10"/>
  <c r="I48" i="1"/>
  <c r="H86" i="17"/>
  <c r="I57" i="10"/>
  <c r="I59" i="10" s="1"/>
  <c r="I51" i="10"/>
  <c r="I80" i="17"/>
  <c r="I18" i="1"/>
  <c r="I12" i="1"/>
  <c r="I19" i="1"/>
  <c r="I11" i="1"/>
  <c r="I63" i="17"/>
  <c r="I66" i="27"/>
  <c r="K50" i="10" l="1"/>
  <c r="K54" i="10"/>
  <c r="K65" i="1"/>
  <c r="N12" i="1" s="1"/>
  <c r="I66" i="17"/>
  <c r="I67" i="17" s="1"/>
  <c r="I69" i="17" s="1"/>
  <c r="I70" i="17"/>
  <c r="I86" i="17"/>
  <c r="K47" i="29"/>
  <c r="K59" i="27"/>
  <c r="J12" i="1"/>
  <c r="J18" i="1"/>
  <c r="J19" i="1"/>
  <c r="J11" i="1"/>
  <c r="M12" i="1"/>
  <c r="K49" i="10"/>
  <c r="K53" i="10"/>
  <c r="K55" i="10" s="1"/>
  <c r="J58" i="10"/>
  <c r="J48" i="1"/>
  <c r="J31" i="1"/>
  <c r="J37" i="1"/>
  <c r="J38" i="1"/>
  <c r="J30" i="1"/>
  <c r="I29" i="1"/>
  <c r="I10" i="1"/>
  <c r="H88" i="17"/>
  <c r="J80" i="17"/>
  <c r="J57" i="10"/>
  <c r="J51" i="10"/>
  <c r="K62" i="27"/>
  <c r="K66" i="1" s="1"/>
  <c r="N30" i="1" s="1"/>
  <c r="K61" i="27"/>
  <c r="K64" i="27" s="1"/>
  <c r="J63" i="17"/>
  <c r="J66" i="27"/>
  <c r="I88" i="17" l="1"/>
  <c r="I90" i="17" s="1"/>
  <c r="J59" i="10"/>
  <c r="K57" i="10"/>
  <c r="K80" i="17"/>
  <c r="K51" i="10"/>
  <c r="J66" i="17"/>
  <c r="J67" i="17" s="1"/>
  <c r="J69" i="17" s="1"/>
  <c r="J70" i="17"/>
  <c r="J10" i="1"/>
  <c r="J29" i="1"/>
  <c r="K12" i="1"/>
  <c r="K19" i="1"/>
  <c r="K11" i="1"/>
  <c r="N19" i="1"/>
  <c r="M19" i="1"/>
  <c r="N11" i="1"/>
  <c r="M11" i="1"/>
  <c r="H90" i="17"/>
  <c r="K63" i="17"/>
  <c r="K66" i="27"/>
  <c r="K31" i="1"/>
  <c r="K38" i="1"/>
  <c r="K30" i="1"/>
  <c r="N31" i="1"/>
  <c r="M31" i="1"/>
  <c r="N38" i="1"/>
  <c r="M30" i="1"/>
  <c r="J86" i="17"/>
  <c r="M38" i="1"/>
  <c r="K58" i="10"/>
  <c r="K48" i="1"/>
  <c r="N48" i="1" s="1"/>
  <c r="K17" i="3"/>
  <c r="K18" i="4" s="1"/>
  <c r="J88" i="17" l="1"/>
  <c r="J90" i="17" s="1"/>
  <c r="K59" i="10"/>
  <c r="M80" i="17"/>
  <c r="K86" i="17"/>
  <c r="N29" i="1"/>
  <c r="M48" i="1"/>
  <c r="K29" i="1"/>
  <c r="K10" i="1"/>
  <c r="M29" i="1"/>
  <c r="N10" i="1"/>
  <c r="M10" i="1"/>
  <c r="L80" i="17"/>
  <c r="K66" i="17"/>
  <c r="K67" i="17" s="1"/>
  <c r="K69" i="17" s="1"/>
  <c r="K70" i="17"/>
  <c r="K88" i="17" l="1"/>
  <c r="K90" i="17" s="1"/>
  <c r="L88" i="17"/>
  <c r="M70" i="17"/>
  <c r="L70" i="17"/>
  <c r="L69" i="17"/>
  <c r="M69" i="17"/>
  <c r="M86" i="17"/>
  <c r="L86" i="17"/>
  <c r="D102" i="5"/>
  <c r="E102" i="5"/>
  <c r="F102" i="5"/>
  <c r="G102" i="5"/>
  <c r="H102" i="5"/>
  <c r="I102" i="5"/>
  <c r="J102" i="5"/>
  <c r="K102" i="5"/>
  <c r="K65" i="5"/>
  <c r="K67" i="5" s="1"/>
  <c r="K43" i="5" s="1"/>
  <c r="K55" i="1" s="1"/>
  <c r="K61" i="5"/>
  <c r="K63" i="5" s="1"/>
  <c r="K42" i="5" s="1"/>
  <c r="K54" i="1" s="1"/>
  <c r="K57" i="5"/>
  <c r="K59" i="5" s="1"/>
  <c r="K41" i="5" s="1"/>
  <c r="K53" i="1" s="1"/>
  <c r="K53" i="5"/>
  <c r="K55" i="5" s="1"/>
  <c r="K40" i="5" s="1"/>
  <c r="K52" i="1" s="1"/>
  <c r="J65" i="5"/>
  <c r="J67" i="5" s="1"/>
  <c r="J43" i="5" s="1"/>
  <c r="J55" i="1" s="1"/>
  <c r="I65" i="5"/>
  <c r="I67" i="5" s="1"/>
  <c r="I43" i="5" s="1"/>
  <c r="I55" i="1" s="1"/>
  <c r="H65" i="5"/>
  <c r="H67" i="5" s="1"/>
  <c r="H43" i="5" s="1"/>
  <c r="H55" i="1" s="1"/>
  <c r="G65" i="5"/>
  <c r="G67" i="5" s="1"/>
  <c r="G43" i="5" s="1"/>
  <c r="G55" i="1" s="1"/>
  <c r="F65" i="5"/>
  <c r="F67" i="5" s="1"/>
  <c r="F43" i="5" s="1"/>
  <c r="F55" i="1" s="1"/>
  <c r="J61" i="5"/>
  <c r="J63" i="5" s="1"/>
  <c r="J42" i="5" s="1"/>
  <c r="J54" i="1" s="1"/>
  <c r="I61" i="5"/>
  <c r="I63" i="5" s="1"/>
  <c r="I42" i="5" s="1"/>
  <c r="I54" i="1" s="1"/>
  <c r="H61" i="5"/>
  <c r="H63" i="5" s="1"/>
  <c r="H42" i="5" s="1"/>
  <c r="H54" i="1" s="1"/>
  <c r="G61" i="5"/>
  <c r="G63" i="5" s="1"/>
  <c r="G42" i="5" s="1"/>
  <c r="G54" i="1" s="1"/>
  <c r="F61" i="5"/>
  <c r="F63" i="5" s="1"/>
  <c r="F42" i="5" s="1"/>
  <c r="F54" i="1" s="1"/>
  <c r="J57" i="5"/>
  <c r="J59" i="5" s="1"/>
  <c r="J41" i="5" s="1"/>
  <c r="J53" i="1" s="1"/>
  <c r="I57" i="5"/>
  <c r="I59" i="5" s="1"/>
  <c r="I41" i="5" s="1"/>
  <c r="I53" i="1" s="1"/>
  <c r="H57" i="5"/>
  <c r="H59" i="5" s="1"/>
  <c r="H41" i="5" s="1"/>
  <c r="H53" i="1" s="1"/>
  <c r="G57" i="5"/>
  <c r="G59" i="5" s="1"/>
  <c r="G41" i="5" s="1"/>
  <c r="G53" i="1" s="1"/>
  <c r="F57" i="5"/>
  <c r="F59" i="5" s="1"/>
  <c r="F41" i="5" s="1"/>
  <c r="F53" i="1" s="1"/>
  <c r="J53" i="5"/>
  <c r="J55" i="5" s="1"/>
  <c r="J40" i="5" s="1"/>
  <c r="J52" i="1" s="1"/>
  <c r="I53" i="5"/>
  <c r="I55" i="5" s="1"/>
  <c r="I40" i="5" s="1"/>
  <c r="I52" i="1" s="1"/>
  <c r="H53" i="5"/>
  <c r="H55" i="5" s="1"/>
  <c r="H40" i="5" s="1"/>
  <c r="H52" i="1" s="1"/>
  <c r="G53" i="5"/>
  <c r="G55" i="5" s="1"/>
  <c r="G40" i="5" s="1"/>
  <c r="G52" i="1" s="1"/>
  <c r="F53" i="5"/>
  <c r="F55" i="5" s="1"/>
  <c r="F40" i="5" s="1"/>
  <c r="F52" i="1" s="1"/>
  <c r="E65" i="5"/>
  <c r="E67" i="5" s="1"/>
  <c r="E43" i="5" s="1"/>
  <c r="E55" i="1" s="1"/>
  <c r="E61" i="5"/>
  <c r="E63" i="5" s="1"/>
  <c r="E42" i="5" s="1"/>
  <c r="E54" i="1" s="1"/>
  <c r="E57" i="5"/>
  <c r="E59" i="5" s="1"/>
  <c r="E41" i="5" s="1"/>
  <c r="E53" i="1" s="1"/>
  <c r="E53" i="5"/>
  <c r="E55" i="5" s="1"/>
  <c r="E40" i="5" s="1"/>
  <c r="E52" i="1" s="1"/>
  <c r="M88" i="17" l="1"/>
  <c r="M90" i="17"/>
  <c r="L90" i="17"/>
  <c r="D49" i="5"/>
  <c r="D18" i="5"/>
  <c r="L11" i="5"/>
  <c r="M11" i="5"/>
  <c r="M15" i="5"/>
  <c r="D65" i="5"/>
  <c r="L15" i="5"/>
  <c r="E35" i="1"/>
  <c r="E16" i="1"/>
  <c r="H49" i="5"/>
  <c r="H51" i="5" s="1"/>
  <c r="H39" i="5" s="1"/>
  <c r="H18" i="5"/>
  <c r="G14" i="1"/>
  <c r="G33" i="1"/>
  <c r="F15" i="1"/>
  <c r="F34" i="1"/>
  <c r="J34" i="1"/>
  <c r="J15" i="1"/>
  <c r="I16" i="1"/>
  <c r="I35" i="1"/>
  <c r="H36" i="1"/>
  <c r="H17" i="1"/>
  <c r="K33" i="1"/>
  <c r="K14" i="1"/>
  <c r="K15" i="4"/>
  <c r="K22" i="29"/>
  <c r="K34" i="29" s="1"/>
  <c r="G15" i="4"/>
  <c r="G26" i="4" s="1"/>
  <c r="G28" i="4" s="1"/>
  <c r="G22" i="29"/>
  <c r="G34" i="29" s="1"/>
  <c r="G37" i="29" s="1"/>
  <c r="D53" i="5"/>
  <c r="L12" i="5"/>
  <c r="M12" i="5"/>
  <c r="E49" i="5"/>
  <c r="E51" i="5" s="1"/>
  <c r="E39" i="5" s="1"/>
  <c r="E18" i="5"/>
  <c r="E36" i="1"/>
  <c r="E17" i="1"/>
  <c r="I49" i="5"/>
  <c r="I51" i="5" s="1"/>
  <c r="I39" i="5" s="1"/>
  <c r="I18" i="5"/>
  <c r="H33" i="1"/>
  <c r="H14" i="1"/>
  <c r="G34" i="1"/>
  <c r="G15" i="1"/>
  <c r="F16" i="1"/>
  <c r="F35" i="1"/>
  <c r="J16" i="1"/>
  <c r="J35" i="1"/>
  <c r="I17" i="1"/>
  <c r="I36" i="1"/>
  <c r="K34" i="1"/>
  <c r="K15" i="1"/>
  <c r="J22" i="29"/>
  <c r="J15" i="4"/>
  <c r="J26" i="4" s="1"/>
  <c r="J28" i="4" s="1"/>
  <c r="F15" i="4"/>
  <c r="F26" i="4" s="1"/>
  <c r="F28" i="4" s="1"/>
  <c r="F22" i="29"/>
  <c r="F34" i="29" s="1"/>
  <c r="F37" i="29" s="1"/>
  <c r="E33" i="1"/>
  <c r="E14" i="1"/>
  <c r="F49" i="5"/>
  <c r="F51" i="5" s="1"/>
  <c r="F39" i="5" s="1"/>
  <c r="F18" i="5"/>
  <c r="J49" i="5"/>
  <c r="J51" i="5" s="1"/>
  <c r="J39" i="5" s="1"/>
  <c r="J18" i="5"/>
  <c r="I14" i="1"/>
  <c r="I33" i="1"/>
  <c r="H15" i="1"/>
  <c r="H34" i="1"/>
  <c r="G35" i="1"/>
  <c r="G16" i="1"/>
  <c r="F17" i="1"/>
  <c r="F36" i="1"/>
  <c r="J36" i="1"/>
  <c r="J17" i="1"/>
  <c r="K35" i="1"/>
  <c r="K16" i="1"/>
  <c r="I22" i="29"/>
  <c r="I34" i="29" s="1"/>
  <c r="I37" i="29" s="1"/>
  <c r="I15" i="4"/>
  <c r="I26" i="4" s="1"/>
  <c r="I28" i="4" s="1"/>
  <c r="E15" i="4"/>
  <c r="E26" i="4" s="1"/>
  <c r="E28" i="4" s="1"/>
  <c r="E22" i="29"/>
  <c r="E34" i="29" s="1"/>
  <c r="E37" i="29" s="1"/>
  <c r="M13" i="5"/>
  <c r="D57" i="5"/>
  <c r="L13" i="5"/>
  <c r="M14" i="5"/>
  <c r="D61" i="5"/>
  <c r="L14" i="5"/>
  <c r="E15" i="1"/>
  <c r="E34" i="1"/>
  <c r="G49" i="5"/>
  <c r="G51" i="5" s="1"/>
  <c r="G39" i="5" s="1"/>
  <c r="G18" i="5"/>
  <c r="F14" i="1"/>
  <c r="F33" i="1"/>
  <c r="J33" i="1"/>
  <c r="J14" i="1"/>
  <c r="I34" i="1"/>
  <c r="I15" i="1"/>
  <c r="H16" i="1"/>
  <c r="H35" i="1"/>
  <c r="G17" i="1"/>
  <c r="G36" i="1"/>
  <c r="K49" i="5"/>
  <c r="K51" i="5" s="1"/>
  <c r="K39" i="5" s="1"/>
  <c r="K18" i="5"/>
  <c r="K36" i="1"/>
  <c r="K17" i="1"/>
  <c r="H22" i="29"/>
  <c r="H34" i="29" s="1"/>
  <c r="H37" i="29" s="1"/>
  <c r="H15" i="4"/>
  <c r="H26" i="4" s="1"/>
  <c r="H28" i="4" s="1"/>
  <c r="D15" i="4"/>
  <c r="D26" i="4" s="1"/>
  <c r="D28" i="4" s="1"/>
  <c r="D22" i="29"/>
  <c r="D34" i="29" s="1"/>
  <c r="D37" i="29" s="1"/>
  <c r="D62" i="29"/>
  <c r="D70" i="29" s="1"/>
  <c r="D74" i="29" s="1"/>
  <c r="E62" i="29"/>
  <c r="E70" i="29" s="1"/>
  <c r="E74" i="29" s="1"/>
  <c r="F62" i="29"/>
  <c r="F70" i="29" s="1"/>
  <c r="F74" i="29" s="1"/>
  <c r="G62" i="29"/>
  <c r="G70" i="29" s="1"/>
  <c r="G74" i="29" s="1"/>
  <c r="H62" i="29"/>
  <c r="H70" i="29" s="1"/>
  <c r="H74" i="29" s="1"/>
  <c r="I62" i="29"/>
  <c r="I70" i="29" s="1"/>
  <c r="I74" i="29" s="1"/>
  <c r="J62" i="29"/>
  <c r="J70" i="29" s="1"/>
  <c r="K62" i="29"/>
  <c r="K70" i="29" s="1"/>
  <c r="G46" i="5" l="1"/>
  <c r="G51" i="1"/>
  <c r="L57" i="5"/>
  <c r="M57" i="5"/>
  <c r="D59" i="5"/>
  <c r="F41" i="29"/>
  <c r="F79" i="29" s="1"/>
  <c r="F49" i="29"/>
  <c r="D55" i="5"/>
  <c r="L53" i="5"/>
  <c r="M53" i="5"/>
  <c r="D63" i="5"/>
  <c r="M61" i="5"/>
  <c r="L61" i="5"/>
  <c r="I41" i="29"/>
  <c r="I79" i="29" s="1"/>
  <c r="I49" i="29"/>
  <c r="F46" i="5"/>
  <c r="F51" i="1"/>
  <c r="I51" i="1"/>
  <c r="I46" i="5"/>
  <c r="E51" i="1"/>
  <c r="E46" i="5"/>
  <c r="G49" i="29"/>
  <c r="G41" i="29"/>
  <c r="G79" i="29" s="1"/>
  <c r="H41" i="29"/>
  <c r="H79" i="29" s="1"/>
  <c r="H49" i="29"/>
  <c r="D49" i="29"/>
  <c r="D41" i="29"/>
  <c r="D79" i="29" s="1"/>
  <c r="E41" i="29"/>
  <c r="E79" i="29" s="1"/>
  <c r="E49" i="29"/>
  <c r="M18" i="5"/>
  <c r="H46" i="5"/>
  <c r="H51" i="1"/>
  <c r="M65" i="5"/>
  <c r="D67" i="5"/>
  <c r="L65" i="5"/>
  <c r="K46" i="5"/>
  <c r="K51" i="1"/>
  <c r="J46" i="5"/>
  <c r="J51" i="1"/>
  <c r="L18" i="5"/>
  <c r="L49" i="5"/>
  <c r="D51" i="5"/>
  <c r="M49" i="5"/>
  <c r="L51" i="5" l="1"/>
  <c r="M51" i="5"/>
  <c r="D39" i="5"/>
  <c r="H32" i="1"/>
  <c r="H39" i="1" s="1"/>
  <c r="H13" i="1"/>
  <c r="H20" i="1" s="1"/>
  <c r="H58" i="1"/>
  <c r="E32" i="1"/>
  <c r="E39" i="1" s="1"/>
  <c r="E13" i="1"/>
  <c r="E20" i="1" s="1"/>
  <c r="E58" i="1"/>
  <c r="D40" i="5"/>
  <c r="L55" i="5"/>
  <c r="M55" i="5"/>
  <c r="J32" i="1"/>
  <c r="J39" i="1" s="1"/>
  <c r="J13" i="1"/>
  <c r="J20" i="1" s="1"/>
  <c r="J58" i="1"/>
  <c r="M63" i="5"/>
  <c r="L63" i="5"/>
  <c r="D42" i="5"/>
  <c r="D43" i="5"/>
  <c r="M67" i="5"/>
  <c r="L67" i="5"/>
  <c r="I32" i="1"/>
  <c r="I39" i="1" s="1"/>
  <c r="I13" i="1"/>
  <c r="I20" i="1" s="1"/>
  <c r="I58" i="1"/>
  <c r="G32" i="1"/>
  <c r="G39" i="1" s="1"/>
  <c r="G13" i="1"/>
  <c r="G20" i="1" s="1"/>
  <c r="G58" i="1"/>
  <c r="K32" i="1"/>
  <c r="K13" i="1"/>
  <c r="F13" i="1"/>
  <c r="F20" i="1" s="1"/>
  <c r="F32" i="1"/>
  <c r="F39" i="1" s="1"/>
  <c r="F58" i="1"/>
  <c r="D41" i="5"/>
  <c r="L59" i="5"/>
  <c r="M59" i="5"/>
  <c r="D46" i="5" l="1"/>
  <c r="M39" i="5"/>
  <c r="L39" i="5"/>
  <c r="D51" i="1"/>
  <c r="L41" i="5"/>
  <c r="M41" i="5"/>
  <c r="D53" i="1"/>
  <c r="D54" i="1"/>
  <c r="L42" i="5"/>
  <c r="M42" i="5"/>
  <c r="M43" i="5"/>
  <c r="D55" i="1"/>
  <c r="L43" i="5"/>
  <c r="M40" i="5"/>
  <c r="L40" i="5"/>
  <c r="D52" i="1"/>
  <c r="K28" i="3"/>
  <c r="K56" i="1" s="1"/>
  <c r="D19" i="19"/>
  <c r="E19" i="19"/>
  <c r="F19" i="19"/>
  <c r="G19" i="19"/>
  <c r="H19" i="19"/>
  <c r="I19" i="19"/>
  <c r="J19" i="19"/>
  <c r="K19" i="19"/>
  <c r="N53" i="1" l="1"/>
  <c r="M53" i="1"/>
  <c r="D15" i="1"/>
  <c r="D34" i="1"/>
  <c r="N15" i="1"/>
  <c r="M34" i="1"/>
  <c r="M15" i="1"/>
  <c r="N34" i="1"/>
  <c r="L46" i="5"/>
  <c r="M56" i="1"/>
  <c r="N56" i="1"/>
  <c r="M37" i="1"/>
  <c r="K18" i="1"/>
  <c r="K20" i="1" s="1"/>
  <c r="N37" i="1"/>
  <c r="N18" i="1"/>
  <c r="K37" i="1"/>
  <c r="K39" i="1" s="1"/>
  <c r="M18" i="1"/>
  <c r="K58" i="1"/>
  <c r="M46" i="5"/>
  <c r="M55" i="1"/>
  <c r="N55" i="1"/>
  <c r="D36" i="1"/>
  <c r="D17" i="1"/>
  <c r="N36" i="1"/>
  <c r="M36" i="1"/>
  <c r="N17" i="1"/>
  <c r="M17" i="1"/>
  <c r="N52" i="1"/>
  <c r="M52" i="1"/>
  <c r="D14" i="1"/>
  <c r="D33" i="1"/>
  <c r="N33" i="1"/>
  <c r="M14" i="1"/>
  <c r="M33" i="1"/>
  <c r="N14" i="1"/>
  <c r="K12" i="3"/>
  <c r="K17" i="4" s="1"/>
  <c r="K26" i="4" s="1"/>
  <c r="K28" i="4" s="1"/>
  <c r="M54" i="1"/>
  <c r="N54" i="1"/>
  <c r="D35" i="1"/>
  <c r="D16" i="1"/>
  <c r="N16" i="1"/>
  <c r="M16" i="1"/>
  <c r="N35" i="1"/>
  <c r="M35" i="1"/>
  <c r="M51" i="1"/>
  <c r="N51" i="1"/>
  <c r="D32" i="1"/>
  <c r="D13" i="1"/>
  <c r="D20" i="1" s="1"/>
  <c r="M32" i="1"/>
  <c r="M13" i="1"/>
  <c r="N13" i="1"/>
  <c r="N32" i="1"/>
  <c r="N39" i="1" s="1"/>
  <c r="D58" i="1"/>
  <c r="M58" i="1" l="1"/>
  <c r="M39" i="1"/>
  <c r="D39" i="1"/>
  <c r="N20" i="1"/>
  <c r="M20" i="1"/>
  <c r="N58" i="1"/>
  <c r="K74" i="29" l="1"/>
  <c r="J74" i="29"/>
  <c r="D88" i="29" l="1"/>
  <c r="D59" i="1" s="1"/>
  <c r="D21" i="1" l="1"/>
  <c r="D50" i="29"/>
  <c r="D51" i="29" s="1"/>
  <c r="D53" i="29" s="1"/>
  <c r="D81" i="29" s="1"/>
  <c r="D86" i="29"/>
  <c r="D89" i="29" s="1"/>
  <c r="D60" i="1" s="1"/>
  <c r="D40" i="1" s="1"/>
  <c r="E88" i="29"/>
  <c r="E59" i="1" s="1"/>
  <c r="E50" i="29" l="1"/>
  <c r="E51" i="29" s="1"/>
  <c r="E53" i="29" s="1"/>
  <c r="E81" i="29" s="1"/>
  <c r="E86" i="29"/>
  <c r="E89" i="29" s="1"/>
  <c r="E60" i="1" s="1"/>
  <c r="E40" i="1" s="1"/>
  <c r="D61" i="1"/>
  <c r="D83" i="29"/>
  <c r="D62" i="1" s="1"/>
  <c r="D63" i="1" s="1"/>
  <c r="E21" i="1"/>
  <c r="F88" i="29"/>
  <c r="F59" i="1" s="1"/>
  <c r="F86" i="29" l="1"/>
  <c r="F89" i="29" s="1"/>
  <c r="F60" i="1" s="1"/>
  <c r="F40" i="1" s="1"/>
  <c r="F50" i="29"/>
  <c r="F51" i="29" s="1"/>
  <c r="F53" i="29" s="1"/>
  <c r="F81" i="29" s="1"/>
  <c r="F21" i="1"/>
  <c r="D22" i="1"/>
  <c r="D23" i="1" s="1"/>
  <c r="D41" i="1"/>
  <c r="D42" i="1" s="1"/>
  <c r="E61" i="1"/>
  <c r="E83" i="29"/>
  <c r="E62" i="1" s="1"/>
  <c r="G88" i="29"/>
  <c r="G59" i="1" s="1"/>
  <c r="E63" i="1" l="1"/>
  <c r="G86" i="29"/>
  <c r="G89" i="29" s="1"/>
  <c r="G60" i="1" s="1"/>
  <c r="G50" i="29"/>
  <c r="G51" i="29" s="1"/>
  <c r="G53" i="29" s="1"/>
  <c r="G81" i="29" s="1"/>
  <c r="F61" i="1"/>
  <c r="F83" i="29"/>
  <c r="F62" i="1" s="1"/>
  <c r="G21" i="1"/>
  <c r="E22" i="1"/>
  <c r="E23" i="1" s="1"/>
  <c r="E41" i="1"/>
  <c r="E42" i="1" s="1"/>
  <c r="F22" i="1" l="1"/>
  <c r="F23" i="1" s="1"/>
  <c r="F41" i="1"/>
  <c r="F42" i="1" s="1"/>
  <c r="F63" i="1"/>
  <c r="G61" i="1"/>
  <c r="G83" i="29"/>
  <c r="G62" i="1" s="1"/>
  <c r="G40" i="1"/>
  <c r="G22" i="1" l="1"/>
  <c r="G23" i="1" s="1"/>
  <c r="G41" i="1"/>
  <c r="G63" i="1"/>
  <c r="G42" i="1"/>
  <c r="H88" i="29" l="1"/>
  <c r="H59" i="1" s="1"/>
  <c r="H86" i="29" l="1"/>
  <c r="H89" i="29" s="1"/>
  <c r="H60" i="1" s="1"/>
  <c r="H50" i="29"/>
  <c r="H51" i="29" s="1"/>
  <c r="H53" i="29" s="1"/>
  <c r="H81" i="29" s="1"/>
  <c r="H21" i="1"/>
  <c r="H61" i="1" l="1"/>
  <c r="H83" i="29"/>
  <c r="H62" i="1" s="1"/>
  <c r="H40" i="1"/>
  <c r="H22" i="1" l="1"/>
  <c r="H23" i="1" s="1"/>
  <c r="H41" i="1"/>
  <c r="H42" i="1" s="1"/>
  <c r="H63" i="1"/>
  <c r="I88" i="29" l="1"/>
  <c r="I59" i="1" s="1"/>
  <c r="J86" i="29" l="1"/>
  <c r="I21" i="1"/>
  <c r="J88" i="29"/>
  <c r="J59" i="1" s="1"/>
  <c r="K86" i="29" l="1"/>
  <c r="J21" i="1"/>
  <c r="I86" i="29"/>
  <c r="I89" i="29" s="1"/>
  <c r="I60" i="1" s="1"/>
  <c r="I50" i="29"/>
  <c r="I51" i="29" s="1"/>
  <c r="I53" i="29" s="1"/>
  <c r="I81" i="29" s="1"/>
  <c r="J50" i="29"/>
  <c r="J89" i="29"/>
  <c r="J60" i="1" s="1"/>
  <c r="K88" i="29"/>
  <c r="K59" i="1" s="1"/>
  <c r="I61" i="1" l="1"/>
  <c r="I22" i="1" s="1"/>
  <c r="I23" i="1" s="1"/>
  <c r="I83" i="29"/>
  <c r="I62" i="1" s="1"/>
  <c r="I41" i="1" s="1"/>
  <c r="K21" i="1"/>
  <c r="N21" i="1"/>
  <c r="M21" i="1"/>
  <c r="N59" i="1"/>
  <c r="M59" i="1"/>
  <c r="I40" i="1"/>
  <c r="I63" i="1"/>
  <c r="J40" i="1"/>
  <c r="K50" i="29"/>
  <c r="K89" i="29"/>
  <c r="K60" i="1" s="1"/>
  <c r="K40" i="1" s="1"/>
  <c r="M40" i="1" l="1"/>
  <c r="I42" i="1"/>
  <c r="M60" i="1"/>
  <c r="N60" i="1"/>
  <c r="N40" i="1"/>
  <c r="J34" i="29" l="1"/>
  <c r="J37" i="29" s="1"/>
  <c r="J41" i="29" l="1"/>
  <c r="J79" i="29" s="1"/>
  <c r="J49" i="29"/>
  <c r="J51" i="29" s="1"/>
  <c r="J53" i="29" s="1"/>
  <c r="J81" i="29" s="1"/>
  <c r="J61" i="1" s="1"/>
  <c r="J22" i="1" l="1"/>
  <c r="J23" i="1" s="1"/>
  <c r="J83" i="29"/>
  <c r="J62" i="1" s="1"/>
  <c r="J41" i="1" s="1"/>
  <c r="J42" i="1" s="1"/>
  <c r="J63" i="1" l="1"/>
  <c r="K37" i="29" l="1"/>
  <c r="K49" i="29" l="1"/>
  <c r="K51" i="29" s="1"/>
  <c r="K53" i="29" s="1"/>
  <c r="K81" i="29" s="1"/>
  <c r="K61" i="1" s="1"/>
  <c r="K41" i="29"/>
  <c r="K79" i="29" s="1"/>
  <c r="K83" i="29" s="1"/>
  <c r="K62" i="1" s="1"/>
  <c r="N62" i="1" l="1"/>
  <c r="M62" i="1"/>
  <c r="K41" i="1"/>
  <c r="K42" i="1" s="1"/>
  <c r="K22" i="1"/>
  <c r="K23" i="1" s="1"/>
  <c r="N61" i="1"/>
  <c r="N63" i="1" s="1"/>
  <c r="N22" i="1"/>
  <c r="N23" i="1" s="1"/>
  <c r="M61" i="1"/>
  <c r="M63" i="1" s="1"/>
  <c r="M41" i="1"/>
  <c r="M42" i="1" s="1"/>
  <c r="M22" i="1"/>
  <c r="M23" i="1" s="1"/>
  <c r="N41" i="1"/>
  <c r="N42" i="1" s="1"/>
  <c r="K63" i="1"/>
</calcChain>
</file>

<file path=xl/sharedStrings.xml><?xml version="1.0" encoding="utf-8"?>
<sst xmlns="http://schemas.openxmlformats.org/spreadsheetml/2006/main" count="1431" uniqueCount="650">
  <si>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</si>
  <si>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</si>
  <si>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</si>
  <si>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</si>
  <si>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</si>
  <si>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</si>
  <si>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</si>
  <si>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</si>
  <si>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</si>
  <si>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</si>
  <si>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</si>
  <si>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</si>
  <si>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</si>
  <si>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</si>
  <si>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</si>
  <si>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</si>
  <si>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</si>
  <si>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</si>
  <si>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</si>
  <si>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</si>
  <si>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</si>
  <si>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</si>
  <si>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</si>
  <si>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</si>
  <si>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</si>
  <si>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</si>
  <si>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</si>
  <si>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</si>
  <si>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</si>
  <si>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</si>
  <si>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</si>
  <si>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</si>
  <si>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</si>
  <si>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</si>
  <si>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</si>
  <si>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</si>
  <si>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</si>
  <si>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</si>
  <si>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</si>
  <si>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</si>
  <si>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</si>
  <si>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</si>
  <si>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</si>
  <si>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</si>
  <si>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</si>
  <si>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</si>
  <si>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</si>
  <si>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</si>
  <si>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</si>
  <si>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</si>
  <si>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</si>
  <si>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</si>
  <si>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</si>
  <si>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</si>
  <si>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</si>
  <si>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</si>
  <si>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</si>
  <si>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</si>
  <si>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</si>
  <si>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</si>
  <si>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</si>
  <si>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</si>
  <si>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</si>
  <si>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</si>
  <si>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</si>
  <si>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</si>
  <si>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</si>
  <si>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</si>
  <si>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</si>
  <si>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</si>
  <si>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</si>
  <si>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</si>
  <si>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</si>
  <si>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</si>
  <si>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</si>
  <si>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</si>
  <si>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</si>
  <si>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</si>
  <si>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</si>
  <si>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</si>
  <si>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</si>
  <si>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</si>
  <si>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</si>
  <si>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</si>
  <si>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</si>
  <si>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</si>
  <si>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</si>
  <si>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</si>
  <si>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</si>
  <si>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</si>
  <si>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</si>
  <si>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</si>
  <si>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</si>
  <si>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</si>
  <si>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</si>
  <si>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</si>
  <si>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</si>
  <si>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</si>
  <si>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</si>
  <si>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</si>
  <si>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</si>
  <si>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</si>
  <si>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</si>
  <si>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</si>
  <si>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</si>
  <si>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</si>
  <si>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</si>
  <si>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</si>
  <si>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</si>
  <si>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</si>
  <si>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</si>
  <si>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</si>
  <si>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</si>
  <si>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</si>
  <si>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</si>
  <si>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</si>
  <si>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</si>
  <si>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</si>
  <si>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</si>
  <si>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</si>
  <si>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</si>
  <si>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</si>
  <si>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</si>
  <si>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</si>
  <si>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</si>
  <si>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</si>
  <si>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</si>
  <si>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</si>
  <si>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</si>
  <si>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</si>
  <si>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</si>
  <si>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</si>
  <si>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</si>
  <si>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</si>
  <si>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</si>
  <si>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</si>
  <si>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</si>
  <si>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</si>
  <si>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</si>
  <si>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</si>
  <si>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</si>
  <si>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</si>
  <si>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</si>
  <si>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</si>
  <si>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</si>
  <si>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</si>
  <si>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</si>
  <si>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</si>
  <si>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</si>
  <si>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</si>
  <si>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</si>
  <si>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</si>
  <si>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</si>
  <si>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</si>
  <si>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</si>
  <si>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</si>
  <si>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</si>
  <si>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</si>
  <si>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</si>
  <si>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</si>
  <si>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</si>
  <si>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</si>
  <si>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</si>
  <si>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</si>
  <si>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</si>
  <si>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</si>
  <si>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</si>
  <si>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</si>
  <si>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</si>
  <si>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</si>
  <si>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</si>
  <si>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</si>
  <si>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</si>
  <si>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</si>
  <si>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</si>
  <si>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</si>
  <si>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</si>
  <si>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</si>
  <si>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</si>
  <si>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</si>
  <si>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</si>
  <si>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</si>
  <si>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</si>
  <si>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</si>
  <si>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</si>
  <si>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</si>
  <si>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</si>
  <si>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</si>
  <si>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</si>
  <si>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</si>
  <si>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</si>
  <si>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</si>
  <si>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</si>
  <si>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</si>
  <si>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</si>
  <si>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</si>
  <si>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</si>
  <si>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</si>
  <si>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</si>
  <si>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</si>
  <si>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</si>
  <si>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</si>
  <si>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</si>
  <si>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</si>
  <si>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</si>
  <si>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</si>
  <si>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</si>
  <si>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</si>
  <si>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</si>
  <si>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</si>
  <si>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</si>
  <si>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</si>
  <si>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</si>
  <si>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</si>
  <si>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</si>
  <si>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</si>
  <si>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</si>
  <si>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</si>
  <si>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</si>
  <si>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</si>
  <si>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</si>
  <si>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</si>
  <si>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</si>
  <si>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</si>
  <si>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</si>
  <si>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</si>
  <si>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</si>
  <si>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</si>
  <si>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</si>
  <si>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</si>
  <si>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</si>
  <si>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</si>
  <si>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</si>
  <si>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</si>
  <si>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</si>
  <si>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</si>
  <si>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</si>
  <si>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</si>
  <si>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</si>
  <si>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</si>
  <si>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</si>
  <si>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</si>
  <si>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</si>
  <si>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</si>
  <si>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</si>
  <si>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</si>
  <si>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</si>
  <si>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</si>
  <si>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</si>
  <si>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</si>
  <si>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</si>
  <si>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</si>
  <si>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</si>
  <si>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</si>
  <si>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</si>
  <si>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</si>
  <si>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</si>
  <si>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</si>
  <si>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</si>
  <si>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</si>
  <si>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</si>
  <si>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</si>
  <si>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</si>
  <si>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</si>
  <si>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</si>
  <si>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</si>
  <si>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</si>
  <si>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</si>
  <si>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</si>
  <si>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</si>
  <si>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</si>
  <si>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</si>
  <si>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</si>
  <si>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</si>
  <si>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</si>
  <si>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</si>
  <si>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</si>
  <si>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</si>
  <si>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</si>
  <si>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</si>
  <si>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</si>
  <si>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</si>
  <si>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</si>
  <si>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</si>
  <si>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</si>
  <si>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</si>
  <si>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</si>
  <si>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</si>
  <si>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</si>
  <si>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</si>
  <si>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</si>
  <si>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</si>
  <si>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</si>
  <si>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</si>
  <si>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</si>
  <si>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</si>
  <si>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</si>
  <si>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</si>
  <si>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</si>
  <si>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</si>
  <si>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</si>
  <si>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</si>
  <si>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</si>
  <si>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</si>
  <si>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</si>
  <si>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</si>
  <si>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</si>
  <si>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</si>
  <si>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</si>
  <si>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</si>
  <si>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</si>
  <si>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</si>
  <si>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</si>
  <si>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</si>
  <si>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</si>
  <si>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</si>
  <si>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</si>
  <si>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</si>
  <si>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</si>
  <si>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</si>
  <si>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</si>
  <si>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</si>
  <si>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</si>
  <si>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</si>
  <si>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</si>
  <si>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</si>
  <si>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</si>
  <si>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</si>
  <si>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</si>
  <si>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</si>
  <si>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</si>
  <si>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</si>
  <si>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</si>
  <si>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</si>
  <si>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</si>
  <si>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</si>
  <si>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</si>
  <si>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</si>
  <si>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</si>
  <si>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</si>
  <si>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</si>
  <si>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</si>
  <si>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</si>
  <si>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</si>
  <si>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</si>
  <si>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</si>
  <si>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</si>
  <si>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</si>
  <si>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</si>
  <si>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</si>
  <si>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</si>
  <si>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</si>
  <si>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</si>
  <si>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</si>
  <si>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</si>
  <si>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</si>
  <si>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</si>
  <si>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</si>
  <si>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</si>
  <si>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</si>
  <si>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</si>
  <si>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</si>
  <si>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</si>
  <si>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</si>
  <si>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</si>
  <si>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</si>
  <si>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</si>
  <si>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</si>
  <si>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</si>
  <si>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</si>
  <si>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</si>
  <si>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</si>
  <si>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</si>
  <si>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</si>
  <si>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</si>
  <si>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</si>
  <si>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</si>
  <si>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</si>
  <si>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</si>
  <si>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</si>
  <si>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</si>
  <si>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</si>
  <si>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</si>
  <si>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</si>
  <si>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</si>
  <si>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</si>
  <si>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</si>
  <si>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</si>
  <si>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</si>
  <si>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</si>
  <si>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</si>
  <si>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</si>
  <si>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</si>
  <si>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</si>
  <si>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</si>
  <si>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</si>
  <si>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</si>
  <si>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</si>
  <si>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</si>
  <si>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</si>
  <si>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</si>
  <si>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</si>
  <si>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</si>
  <si>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</si>
  <si>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</si>
  <si>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</si>
  <si>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</si>
  <si>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</si>
  <si>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</si>
  <si>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</si>
  <si>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</si>
  <si>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</si>
  <si>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</si>
  <si>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</si>
  <si>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</si>
  <si>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</si>
  <si>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</si>
  <si>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</si>
  <si>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</si>
  <si>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</si>
  <si>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</si>
  <si>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</si>
  <si>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</si>
  <si>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</si>
  <si>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</si>
  <si>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</si>
  <si>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</si>
  <si>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</si>
  <si>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</si>
  <si>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</si>
  <si>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</si>
  <si>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</si>
  <si>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</si>
  <si>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</si>
  <si>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</si>
  <si>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</si>
  <si>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</si>
  <si>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</si>
  <si>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</si>
  <si>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</si>
  <si>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</si>
  <si>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</si>
  <si>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</si>
  <si>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</si>
  <si>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</si>
  <si>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</si>
  <si>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</si>
  <si>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</si>
  <si>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</si>
  <si>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</si>
  <si>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</si>
  <si>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</si>
  <si>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</si>
  <si>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</si>
  <si>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</si>
  <si>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</si>
  <si>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</si>
  <si>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</si>
  <si>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</si>
  <si>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</si>
  <si>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</si>
  <si>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</si>
  <si>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</si>
  <si>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</si>
  <si>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</si>
  <si>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</si>
  <si>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</si>
  <si>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</si>
  <si>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</si>
  <si>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</si>
  <si>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</si>
  <si>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</si>
  <si>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</si>
  <si>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</si>
  <si>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</si>
  <si>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</si>
  <si>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</si>
  <si>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</si>
  <si>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</si>
  <si>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</si>
  <si>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</si>
  <si>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</si>
  <si>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</si>
  <si>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</si>
  <si>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</si>
  <si>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</si>
  <si>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</si>
  <si>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</si>
  <si>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</si>
  <si>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</si>
  <si>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</si>
  <si>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</si>
  <si>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</si>
  <si>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</si>
  <si>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</si>
  <si>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</si>
  <si>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</si>
  <si>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</si>
  <si>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</si>
  <si>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</si>
  <si>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</si>
  <si>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</si>
  <si>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</si>
  <si>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</si>
  <si>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</si>
  <si>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</si>
  <si>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</si>
  <si>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</si>
  <si>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</si>
  <si>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</si>
  <si>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</si>
  <si>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</si>
  <si>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</si>
  <si>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</si>
  <si>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</si>
  <si>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</si>
  <si>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</si>
  <si>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</si>
  <si>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</si>
  <si>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</si>
  <si>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</si>
  <si>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</si>
  <si>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</si>
  <si>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</si>
  <si>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</si>
  <si>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</si>
  <si>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</si>
  <si>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</si>
  <si>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</si>
  <si>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</si>
  <si>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</si>
  <si>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</si>
  <si>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</si>
  <si>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</si>
  <si>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</si>
  <si>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</si>
  <si>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</si>
  <si>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</si>
  <si>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</si>
  <si>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</si>
  <si>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</si>
  <si>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</si>
  <si>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</si>
  <si>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</si>
  <si>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</si>
  <si>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</si>
  <si>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</si>
  <si>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</si>
  <si>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</si>
  <si>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</si>
  <si>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</si>
  <si>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</si>
  <si>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</si>
  <si>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</si>
  <si>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</si>
  <si>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</si>
  <si>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</si>
  <si>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</si>
  <si>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</si>
  <si>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</si>
  <si>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</si>
  <si>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</si>
  <si>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('R8 - Net Debt'!D54-AVERAGE('R8 - Net Debt'!D8,('R8 - Net Debt'!D10-'R8a - Net Debt input'!T18)))*(Data!C36-1)</t>
  </si>
  <si>
    <t>NGESO</t>
  </si>
  <si>
    <t xml:space="preserve">ESO Reporting and Incentive (ESORI) </t>
  </si>
  <si>
    <t>Updated RPI Index for 2020 and 2021, M3 New Forecasts RPI for 2021, 2022 and 2023</t>
  </si>
  <si>
    <t xml:space="preserve">Updated the cost of debt figures for 2021, 2022 and 2023 </t>
  </si>
  <si>
    <t>RFPR Cover</t>
  </si>
  <si>
    <t>Changed NGET(SO) to NGESO in the Drop down list</t>
  </si>
  <si>
    <t xml:space="preserve">Row 196 - NGESO incentive added </t>
  </si>
  <si>
    <t>Formula in cell E37 has been corrected</t>
  </si>
  <si>
    <t>Cell D37 - formula has been corrected.</t>
  </si>
  <si>
    <t xml:space="preserve"> Cell M30 -formula has been removed.</t>
  </si>
  <si>
    <t>Clawback Direction  - sums unpaid</t>
  </si>
  <si>
    <t>Connections performance standards payments adjustment</t>
  </si>
  <si>
    <t>DPCR4 residual distribution losses incentive and Growth Term (ENWL, NPg, UKPN and SP licensees)</t>
  </si>
  <si>
    <t>[Input description]</t>
  </si>
  <si>
    <t>SoLR</t>
  </si>
  <si>
    <t>Sole Use Cust Conts to remove - as per RIGs log not Revenue</t>
  </si>
  <si>
    <t>LCNF / NIA revenue / NIC revenue deferral</t>
  </si>
  <si>
    <t>DRS1 Connections revenue</t>
  </si>
  <si>
    <t>IFRIC 18 / IFRS 15</t>
  </si>
  <si>
    <t>Income from Sale of Assets / Scrap</t>
  </si>
  <si>
    <t>Third party cable damage recoveries (cost recovery on C1) + "Umets"</t>
  </si>
  <si>
    <t>Theft in Conveyance income</t>
  </si>
  <si>
    <t>LA training grant</t>
  </si>
  <si>
    <t>Insurance recoveries paid to DNO (cost recovery on C1) / other misc</t>
  </si>
  <si>
    <t>Dividends + System Studies income + R&amp;D Tax Credit</t>
  </si>
  <si>
    <t>Customer Contributions/Connections - cash received v WIP basis</t>
  </si>
  <si>
    <t>Unmetered Customer Contributions - included in Revenue in Regulatory Accounts</t>
  </si>
  <si>
    <t>Atypicals - Provision charges in Regulatory Accounts but shown as Utilised in RRP</t>
  </si>
  <si>
    <t>Third party cable damage income</t>
  </si>
  <si>
    <t>Removal of IAS19 pensions and inclusion of cash contributions</t>
  </si>
  <si>
    <t>Related party recharges grossed up in C1</t>
  </si>
  <si>
    <t>Incremental Deficit Pension Contributions</t>
  </si>
  <si>
    <t>Established Deficit Pension Contributions</t>
  </si>
  <si>
    <t>Supplier of Last Resort payments shown net of income received (DUoS)</t>
  </si>
  <si>
    <t>Historical Use of System Bad Debt costs incurred (HBD)</t>
  </si>
  <si>
    <t>ENWS depreciation charge to ENWL not included in C1</t>
  </si>
  <si>
    <t>ENWS non operational capital expenditure</t>
  </si>
  <si>
    <t>Addition of Strategic Stock items in CV7</t>
  </si>
  <si>
    <t>Removal of effects of IFRS16</t>
  </si>
  <si>
    <t>Profit &amp; Loss v Proceeds on Sale of Assets</t>
  </si>
  <si>
    <t>Rounding to £0.1m in Statutory Accounts</t>
  </si>
  <si>
    <t>Covid Bad Debts incurred (CBD) - input direct in Revenue pack</t>
  </si>
  <si>
    <t>Supplier of Last Resort Excess Specified Amount (ESA)</t>
  </si>
  <si>
    <t>Income from theft recovery</t>
  </si>
  <si>
    <t>Value added services (DRS 8)</t>
  </si>
  <si>
    <t>Fines and Penalties removed from PCFM input</t>
  </si>
  <si>
    <t>Non-regulated business expenditure</t>
  </si>
  <si>
    <t>Direct pass through costs to other regulated entities</t>
  </si>
  <si>
    <t>NIC/NIA/LCNF not included in Totex input to PCFM</t>
  </si>
  <si>
    <t>Atypicals Non Severe Weather (excluded from Totex)</t>
  </si>
  <si>
    <t>Guaranteed Standard/Ex-gratia Compensation/Bad Debt expense</t>
  </si>
  <si>
    <t>Disallowed related party costs and margin</t>
  </si>
  <si>
    <t>NBV of assets sold in year - Proceeds included in Totex</t>
  </si>
  <si>
    <t>Re-phasing within ED1</t>
  </si>
  <si>
    <t>Appendix 1 - Enduring Value methodology</t>
  </si>
  <si>
    <t>Please see separate commentary</t>
  </si>
  <si>
    <t>Remove accretion on index-linked swaps (cash paid)</t>
  </si>
  <si>
    <t>Remove IFRS16 Lease Interest Costs</t>
  </si>
  <si>
    <t>accrual for inflation accretion on index-linked swaps</t>
  </si>
  <si>
    <t>4. Other adjustment (Overwrite)</t>
  </si>
  <si>
    <t>5. Other adjustment (Overwrite)</t>
  </si>
  <si>
    <t>6. Other adjustment (Overwrite)</t>
  </si>
  <si>
    <t>7. Other adjustment (Overwrite)</t>
  </si>
  <si>
    <t>8. Other adjustment (Overwrite)</t>
  </si>
  <si>
    <t>9. Other adjustment (Overwrite)</t>
  </si>
  <si>
    <t>Add back Interest capitalised in statutory accounts</t>
  </si>
  <si>
    <t xml:space="preserve">Movements relating to pension fund liabilities reported within net interest </t>
  </si>
  <si>
    <t>Restatment of 2016-2018 on an effective rate rather than coupon rate</t>
  </si>
  <si>
    <t>Other Adjustments [please specify]</t>
  </si>
  <si>
    <t>Less: Fair value adj debt ref B1.2-B1.4</t>
  </si>
  <si>
    <t>Less: Derivative fair value adjustments in Regulatory Accounts</t>
  </si>
  <si>
    <t>Restricted cash balances</t>
  </si>
  <si>
    <t>Reverse "Analysis of other amounts due to/(from) group companies per Balance Sheet"</t>
  </si>
  <si>
    <t>Reverse unamortised issue costs (in line with row 513 on R7a - puts things back at an effective rate)</t>
  </si>
  <si>
    <t>Restatement of FV bond to amortised cost basis, consistent with IFRS9 treatment for FY19 onwards</t>
  </si>
  <si>
    <t>7. [Insert adjustment as necessary]</t>
  </si>
  <si>
    <t>8. [Insert adjustment as necessary]</t>
  </si>
  <si>
    <t>9. [Insert adjustment as necessary]</t>
  </si>
  <si>
    <t>10. [Insert adjustment as necessary]</t>
  </si>
  <si>
    <t>11. [Insert adjustment as necessary]</t>
  </si>
  <si>
    <t>12. [Insert adjustment as necessary]</t>
  </si>
  <si>
    <t>Fines</t>
  </si>
  <si>
    <t>Revenue receivable relating to previous price control (tax allowance previously received)</t>
  </si>
  <si>
    <t>RPI adjustment</t>
  </si>
  <si>
    <t>Tax performance on MTM bond</t>
  </si>
  <si>
    <t>2018/19</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</si>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</sst>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8">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_(* #,##0.000_);_(* \(#,##0.000\);_(* &quot;-&quot;??_);_(@_)"/>
    <numFmt numFmtId="351" formatCode="0.0000"/>
    <numFmt numFmtId="352" formatCode="[$-F800]dddd\,\ mmmm\ dd\,\ yyyy"/>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36">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997">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173" fontId="5" fillId="36" borderId="68" xfId="75" applyNumberFormat="1" applyFont="1" applyFill="1" applyBorder="1" applyAlignment="1">
      <alignment horizontal="center"/>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0" fontId="0" fillId="3" borderId="112" xfId="0" applyFill="1" applyBorder="1" applyAlignment="1">
      <alignment horizontal="left" vertical="center" wrapText="1" indent="1"/>
    </xf>
    <xf numFmtId="0" fontId="0" fillId="3" borderId="107"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135"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32"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51685">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73">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tabSelected="1" zoomScale="80" zoomScaleNormal="80" zoomScaleSheetLayoutView="90" workbookViewId="0">
      <pane ySplit="3" topLeftCell="A4" activePane="bottomLeft" state="frozen"/>
      <selection activeCell="B75" sqref="A1:XFD1048576"/>
      <selection pane="bottomLeft" activeCell="K18" sqref="K18"/>
    </sheetView>
  </sheetViews>
  <sheetFormatPr defaultRowHeight="12.75"/>
  <cols>
    <col min="1" max="1" width="8.375" customWidth="1"/>
    <col min="2" max="2" width="27.125" customWidth="1"/>
    <col min="3" max="6" width="14.125" customWidth="1"/>
    <col min="7" max="7" width="14.125" style="214" customWidth="1"/>
    <col min="8" max="11" width="14.125" customWidth="1"/>
  </cols>
  <sheetData>
    <row r="1" spans="1:11" s="31" customFormat="1" ht="20.25">
      <c r="A1" s="906" t="s">
        <v>305</v>
      </c>
      <c r="B1" s="907"/>
      <c r="C1" s="907"/>
      <c r="D1" s="908"/>
      <c r="E1" s="909"/>
      <c r="F1" s="907"/>
      <c r="G1" s="910"/>
      <c r="H1" s="907"/>
      <c r="I1" s="907"/>
      <c r="J1" s="907"/>
      <c r="K1" s="907"/>
    </row>
    <row r="2" spans="1:11" s="31" customFormat="1" ht="20.25">
      <c r="A2" s="906" t="str">
        <f>'RFPR cover'!C5</f>
        <v>ENWL</v>
      </c>
      <c r="B2" s="907"/>
      <c r="C2" s="907"/>
      <c r="D2" s="909"/>
      <c r="E2" s="909"/>
      <c r="F2" s="907"/>
      <c r="G2" s="910"/>
      <c r="H2" s="907"/>
      <c r="I2" s="907"/>
      <c r="J2" s="907"/>
      <c r="K2" s="907"/>
    </row>
    <row r="3" spans="1:11" s="31" customFormat="1" ht="20.25">
      <c r="A3" s="906">
        <f>'RFPR cover'!C7</f>
        <v>2023</v>
      </c>
      <c r="B3" s="907"/>
      <c r="C3" s="907"/>
      <c r="D3" s="909"/>
      <c r="E3" s="909"/>
      <c r="F3" s="907"/>
      <c r="G3" s="910"/>
      <c r="H3" s="907"/>
      <c r="I3" s="907"/>
      <c r="J3" s="907"/>
      <c r="K3" s="907"/>
    </row>
    <row r="4" spans="1:11" ht="14.25">
      <c r="A4" s="30"/>
      <c r="B4" s="30"/>
      <c r="C4" s="30"/>
      <c r="D4" s="30"/>
      <c r="E4" s="30"/>
      <c r="H4" s="10"/>
      <c r="I4" s="10"/>
      <c r="J4" s="10"/>
    </row>
    <row r="5" spans="1:11" ht="13.5" customHeight="1">
      <c r="A5" s="30"/>
      <c r="B5" s="78" t="s">
        <v>62</v>
      </c>
      <c r="C5" s="45" t="s">
        <v>43</v>
      </c>
      <c r="D5" s="340"/>
      <c r="E5" s="19"/>
      <c r="F5" s="11"/>
      <c r="G5" s="550" t="s">
        <v>0</v>
      </c>
      <c r="H5" s="10"/>
      <c r="I5" s="10"/>
      <c r="J5" s="10"/>
    </row>
    <row r="6" spans="1:11" ht="13.5" customHeight="1">
      <c r="A6" s="30"/>
      <c r="B6" s="78" t="s">
        <v>188</v>
      </c>
      <c r="C6" s="83" t="str">
        <f>INDEX(Data!$A$73:$A$100,MATCH($C$5,Data!$B$73:$B$100,0),0)&amp;"1"</f>
        <v>ED1</v>
      </c>
      <c r="D6" s="19"/>
      <c r="E6" s="19"/>
      <c r="F6" s="9"/>
      <c r="G6" s="550" t="s">
        <v>1</v>
      </c>
      <c r="H6" s="10"/>
      <c r="I6" s="10"/>
      <c r="J6" s="10"/>
    </row>
    <row r="7" spans="1:11" ht="25.5">
      <c r="A7" s="30"/>
      <c r="B7" s="79" t="s">
        <v>187</v>
      </c>
      <c r="C7" s="84">
        <v>2023</v>
      </c>
      <c r="D7" s="18"/>
      <c r="E7" s="19"/>
      <c r="F7" s="8"/>
      <c r="G7" s="551" t="s">
        <v>2</v>
      </c>
      <c r="H7" s="10"/>
      <c r="I7" s="10"/>
      <c r="J7" s="10"/>
    </row>
    <row r="8" spans="1:11" ht="14.25">
      <c r="A8" s="30"/>
      <c r="B8" s="78" t="s">
        <v>37</v>
      </c>
      <c r="C8" s="85">
        <v>1</v>
      </c>
      <c r="D8" s="19"/>
      <c r="E8" s="18"/>
      <c r="F8" s="7"/>
      <c r="G8" s="550" t="s">
        <v>3</v>
      </c>
      <c r="H8" s="10"/>
      <c r="I8" s="10"/>
      <c r="J8" s="10"/>
    </row>
    <row r="9" spans="1:11" ht="14.25">
      <c r="A9" s="30"/>
      <c r="B9" s="78" t="s">
        <v>38</v>
      </c>
      <c r="C9" s="86">
        <v>45135</v>
      </c>
      <c r="D9" s="18"/>
      <c r="E9" s="18"/>
      <c r="F9" s="6"/>
      <c r="G9" s="550" t="s">
        <v>4</v>
      </c>
      <c r="H9" s="10"/>
      <c r="I9" s="10"/>
      <c r="J9" s="10"/>
    </row>
    <row r="10" spans="1:11" ht="14.25">
      <c r="A10" s="30"/>
      <c r="B10" s="78" t="s">
        <v>70</v>
      </c>
      <c r="C10" s="87">
        <f>SUMIF(Data!$B$72:$B$100,C5,Data!$C$72:$C$100)</f>
        <v>0.06</v>
      </c>
      <c r="D10" s="18"/>
      <c r="E10" s="18"/>
      <c r="F10" s="5"/>
      <c r="G10" s="550" t="s">
        <v>5</v>
      </c>
      <c r="H10" s="10"/>
      <c r="I10" s="10"/>
      <c r="J10" s="10"/>
    </row>
    <row r="11" spans="1:11" ht="14.25">
      <c r="A11" s="30"/>
      <c r="B11" s="78" t="s">
        <v>71</v>
      </c>
      <c r="C11" s="88">
        <f>SUMIF(Data!$B$72:$B$100,C5,Data!$D$72:$D$100)</f>
        <v>0.58109999999999995</v>
      </c>
      <c r="D11" s="19"/>
      <c r="E11" s="19"/>
      <c r="F11" s="4"/>
      <c r="G11" s="550" t="s">
        <v>6</v>
      </c>
      <c r="H11" s="10"/>
      <c r="I11" s="10"/>
      <c r="J11" s="10"/>
    </row>
    <row r="12" spans="1:11">
      <c r="A12" s="30"/>
      <c r="B12" s="78" t="s">
        <v>115</v>
      </c>
      <c r="C12" s="87">
        <f>SUMIF(Data!$B$72:$B$100,C5,Data!$E$72:$E$100)</f>
        <v>0.65</v>
      </c>
      <c r="D12" s="18"/>
      <c r="E12" s="18"/>
      <c r="F12" s="18"/>
      <c r="G12" s="552"/>
    </row>
    <row r="13" spans="1:11">
      <c r="A13" s="30"/>
      <c r="B13" s="78" t="s">
        <v>494</v>
      </c>
      <c r="C13" s="83">
        <f>INDEX(Data!$G$73:$G$100,MATCH($C$5,Data!$B$73:$B$100,0),0)</f>
        <v>2016</v>
      </c>
      <c r="D13" s="18"/>
      <c r="E13" s="18"/>
      <c r="F13" s="77" t="s">
        <v>190</v>
      </c>
    </row>
    <row r="14" spans="1:11">
      <c r="A14" s="30"/>
      <c r="B14" s="80" t="s">
        <v>184</v>
      </c>
      <c r="C14" s="83" t="str">
        <f>INDEX(Data!$H$73:$H$100,MATCH($C$5,Data!$B$73:$B$100,0),0)</f>
        <v>£m 12/13</v>
      </c>
      <c r="D14" s="18"/>
      <c r="E14" s="18"/>
      <c r="F14" s="90">
        <v>0.1</v>
      </c>
      <c r="G14" s="552"/>
    </row>
    <row r="15" spans="1:11">
      <c r="A15" s="30"/>
      <c r="B15" s="18"/>
      <c r="C15" s="18"/>
      <c r="D15" s="18"/>
      <c r="E15" s="18"/>
      <c r="F15" s="18"/>
      <c r="G15" s="552"/>
    </row>
    <row r="85" spans="1:1">
      <c r="A85" s="205"/>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activeCell="D23" sqref="D23:K23"/>
    </sheetView>
  </sheetViews>
  <sheetFormatPr defaultRowHeight="12.75"/>
  <cols>
    <col min="1" max="1" width="8.375" customWidth="1"/>
    <col min="2" max="2" width="79.625" customWidth="1"/>
    <col min="3" max="3" width="14.125" style="137" customWidth="1"/>
    <col min="4" max="11" width="11.125" customWidth="1"/>
    <col min="12" max="12" width="5" customWidth="1"/>
  </cols>
  <sheetData>
    <row r="1" spans="1:12" s="31" customFormat="1" ht="20.25">
      <c r="A1" s="925" t="s">
        <v>100</v>
      </c>
      <c r="B1" s="921"/>
      <c r="C1" s="279"/>
      <c r="D1" s="257"/>
      <c r="E1" s="257"/>
      <c r="F1" s="257"/>
      <c r="G1" s="257"/>
      <c r="H1" s="257"/>
      <c r="I1" s="258"/>
      <c r="J1" s="258"/>
      <c r="K1" s="259"/>
      <c r="L1" s="260"/>
    </row>
    <row r="2" spans="1:12" s="31" customFormat="1" ht="20.25">
      <c r="A2" s="914" t="str">
        <f>'RFPR cover'!C5</f>
        <v>ENWL</v>
      </c>
      <c r="B2" s="906"/>
      <c r="C2" s="135"/>
      <c r="D2" s="29"/>
      <c r="E2" s="29"/>
      <c r="F2" s="29"/>
      <c r="G2" s="29"/>
      <c r="H2" s="29"/>
      <c r="I2" s="27"/>
      <c r="J2" s="27"/>
      <c r="K2" s="27"/>
      <c r="L2" s="124"/>
    </row>
    <row r="3" spans="1:12" s="37" customFormat="1" ht="23.25">
      <c r="A3" s="917">
        <f>'RFPR cover'!C7</f>
        <v>2023</v>
      </c>
      <c r="B3" s="923" t="str">
        <f>'R1 - RoRE'!B3</f>
        <v/>
      </c>
      <c r="C3" s="281"/>
      <c r="D3" s="280"/>
      <c r="E3" s="280"/>
      <c r="F3" s="280"/>
      <c r="G3" s="280"/>
      <c r="H3" s="280"/>
      <c r="I3" s="256"/>
      <c r="J3" s="256"/>
      <c r="K3" s="256"/>
      <c r="L3" s="262"/>
    </row>
    <row r="4" spans="1:12" s="2" customFormat="1" ht="12.75" customHeight="1">
      <c r="C4" s="137"/>
    </row>
    <row r="5" spans="1:12" s="2" customFormat="1">
      <c r="B5" s="3"/>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Actuals</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row>
    <row r="7" spans="1:12" s="2" customFormat="1">
      <c r="C7" s="137"/>
    </row>
    <row r="8" spans="1:12" s="2" customFormat="1">
      <c r="B8" s="51" t="s">
        <v>134</v>
      </c>
      <c r="C8" s="138"/>
      <c r="D8" s="57"/>
      <c r="E8" s="57"/>
      <c r="F8" s="57"/>
      <c r="G8" s="57"/>
      <c r="H8" s="57"/>
      <c r="I8" s="57"/>
      <c r="J8" s="57"/>
      <c r="K8" s="57"/>
    </row>
    <row r="9" spans="1:12" s="2" customFormat="1">
      <c r="B9" s="226" t="s">
        <v>501</v>
      </c>
      <c r="C9" s="153" t="s">
        <v>128</v>
      </c>
      <c r="D9" s="596">
        <v>2.7865334844130447</v>
      </c>
      <c r="E9" s="597">
        <v>3.1833136338685937</v>
      </c>
      <c r="F9" s="597">
        <v>3.0467877464257791</v>
      </c>
      <c r="G9" s="597">
        <v>3.1306140699999996</v>
      </c>
      <c r="H9" s="597">
        <v>3.2121430090707923</v>
      </c>
      <c r="I9" s="597">
        <v>3.2534448308321968</v>
      </c>
      <c r="J9" s="597">
        <v>3.2134433450401776</v>
      </c>
      <c r="K9" s="597">
        <v>2.4539711380106861</v>
      </c>
    </row>
    <row r="10" spans="1:12" s="2" customFormat="1">
      <c r="B10" s="226" t="s">
        <v>483</v>
      </c>
      <c r="C10" s="153" t="s">
        <v>128</v>
      </c>
      <c r="D10" s="598">
        <v>0</v>
      </c>
      <c r="E10" s="599">
        <v>0</v>
      </c>
      <c r="F10" s="599">
        <v>0</v>
      </c>
      <c r="G10" s="599">
        <v>0</v>
      </c>
      <c r="H10" s="599">
        <v>0</v>
      </c>
      <c r="I10" s="599">
        <v>0</v>
      </c>
      <c r="J10" s="599">
        <v>0</v>
      </c>
      <c r="K10" s="599">
        <v>0</v>
      </c>
    </row>
    <row r="11" spans="1:12" s="2" customFormat="1">
      <c r="B11" s="226" t="s">
        <v>500</v>
      </c>
      <c r="C11" s="153" t="s">
        <v>128</v>
      </c>
      <c r="D11" s="851">
        <v>0.26115484003294442</v>
      </c>
      <c r="E11" s="852">
        <v>0.31833136338685941</v>
      </c>
      <c r="F11" s="852">
        <v>0.31774946963931061</v>
      </c>
      <c r="G11" s="852">
        <v>0.33795281529727994</v>
      </c>
      <c r="H11" s="852">
        <v>0.33987384645982033</v>
      </c>
      <c r="I11" s="852">
        <v>0.34004937278034886</v>
      </c>
      <c r="J11" s="852">
        <v>0.32370407940380419</v>
      </c>
      <c r="K11" s="852">
        <v>0.24539711380106866</v>
      </c>
    </row>
    <row r="12" spans="1:12" s="12" customFormat="1">
      <c r="B12" s="51" t="s">
        <v>132</v>
      </c>
      <c r="C12" s="153" t="s">
        <v>128</v>
      </c>
      <c r="D12" s="612">
        <f>D9-D10-D11</f>
        <v>2.5253786443801003</v>
      </c>
      <c r="E12" s="613">
        <f t="shared" ref="E12:K12" si="1">E9-E10-E11</f>
        <v>2.8649822704817343</v>
      </c>
      <c r="F12" s="613">
        <f t="shared" si="1"/>
        <v>2.7290382767864685</v>
      </c>
      <c r="G12" s="613">
        <f t="shared" si="1"/>
        <v>2.7926612547027196</v>
      </c>
      <c r="H12" s="613">
        <f t="shared" si="1"/>
        <v>2.872269162610972</v>
      </c>
      <c r="I12" s="613">
        <f t="shared" si="1"/>
        <v>2.913395458051848</v>
      </c>
      <c r="J12" s="613">
        <f t="shared" si="1"/>
        <v>2.8897392656363734</v>
      </c>
      <c r="K12" s="613">
        <f t="shared" si="1"/>
        <v>2.2085740242096175</v>
      </c>
      <c r="L12" s="2"/>
    </row>
    <row r="13" spans="1:12" s="12" customFormat="1">
      <c r="B13" s="51"/>
      <c r="C13" s="137"/>
      <c r="D13" s="52"/>
      <c r="E13" s="52"/>
      <c r="F13" s="52"/>
      <c r="G13" s="52"/>
      <c r="H13" s="52"/>
      <c r="I13" s="52"/>
      <c r="J13" s="52"/>
      <c r="K13" s="52"/>
      <c r="L13" s="2"/>
    </row>
    <row r="14" spans="1:12" s="2" customFormat="1">
      <c r="B14" s="51" t="s">
        <v>155</v>
      </c>
      <c r="C14" s="138"/>
      <c r="D14" s="57"/>
      <c r="E14" s="57"/>
      <c r="F14" s="57"/>
      <c r="G14" s="57"/>
      <c r="H14" s="57"/>
      <c r="I14" s="57"/>
      <c r="J14" s="57"/>
      <c r="K14" s="57"/>
    </row>
    <row r="15" spans="1:12" s="2" customFormat="1" ht="13.15" customHeight="1">
      <c r="B15" s="226" t="s">
        <v>503</v>
      </c>
      <c r="C15" s="153" t="s">
        <v>128</v>
      </c>
      <c r="D15" s="596">
        <v>1.6461309099999999</v>
      </c>
      <c r="E15" s="597">
        <v>8.7207129999999994E-2</v>
      </c>
      <c r="F15" s="597">
        <v>0.252</v>
      </c>
      <c r="G15" s="597">
        <v>0.68253417000000005</v>
      </c>
      <c r="H15" s="597">
        <v>9.3236239999999998E-2</v>
      </c>
      <c r="I15" s="597">
        <v>-0.25155160999999998</v>
      </c>
      <c r="J15" s="597">
        <v>5.5624060000000003E-2</v>
      </c>
      <c r="K15" s="597">
        <v>-0.26098867999999997</v>
      </c>
    </row>
    <row r="16" spans="1:12" s="2" customFormat="1">
      <c r="B16" s="226" t="s">
        <v>502</v>
      </c>
      <c r="C16" s="153" t="s">
        <v>128</v>
      </c>
      <c r="D16" s="598">
        <v>0</v>
      </c>
      <c r="E16" s="599">
        <v>0</v>
      </c>
      <c r="F16" s="599">
        <v>0</v>
      </c>
      <c r="G16" s="599">
        <v>0</v>
      </c>
      <c r="H16" s="599">
        <v>0</v>
      </c>
      <c r="I16" s="599">
        <v>0</v>
      </c>
      <c r="J16" s="599">
        <v>0</v>
      </c>
      <c r="K16" s="599">
        <v>0</v>
      </c>
    </row>
    <row r="17" spans="2:12" s="12" customFormat="1">
      <c r="B17" s="51" t="s">
        <v>133</v>
      </c>
      <c r="C17" s="153" t="s">
        <v>128</v>
      </c>
      <c r="D17" s="612">
        <f>D15-D16</f>
        <v>1.6461309099999999</v>
      </c>
      <c r="E17" s="612">
        <f t="shared" ref="E17:K17" si="2">E15-E16</f>
        <v>8.7207129999999994E-2</v>
      </c>
      <c r="F17" s="612">
        <f t="shared" si="2"/>
        <v>0.252</v>
      </c>
      <c r="G17" s="612">
        <f t="shared" si="2"/>
        <v>0.68253417000000005</v>
      </c>
      <c r="H17" s="612">
        <f t="shared" si="2"/>
        <v>9.3236239999999998E-2</v>
      </c>
      <c r="I17" s="612">
        <f t="shared" si="2"/>
        <v>-0.25155160999999998</v>
      </c>
      <c r="J17" s="612">
        <f t="shared" si="2"/>
        <v>5.5624060000000003E-2</v>
      </c>
      <c r="K17" s="612">
        <f t="shared" si="2"/>
        <v>-0.26098867999999997</v>
      </c>
      <c r="L17" s="2"/>
    </row>
    <row r="18" spans="2:12" s="12" customFormat="1">
      <c r="B18" s="51"/>
      <c r="C18" s="137"/>
      <c r="D18" s="52"/>
      <c r="E18" s="52"/>
      <c r="F18" s="52"/>
      <c r="G18" s="52"/>
      <c r="H18" s="52"/>
      <c r="I18" s="52"/>
      <c r="J18" s="52"/>
      <c r="K18" s="52"/>
      <c r="L18" s="2"/>
    </row>
    <row r="19" spans="2:12" s="2" customFormat="1">
      <c r="B19" s="51" t="s">
        <v>156</v>
      </c>
      <c r="C19" s="138"/>
      <c r="D19" s="57"/>
      <c r="E19" s="57"/>
      <c r="F19" s="57"/>
      <c r="G19" s="57"/>
      <c r="H19" s="57"/>
      <c r="I19" s="57"/>
      <c r="J19" s="57"/>
      <c r="K19" s="57"/>
    </row>
    <row r="20" spans="2:12" s="2" customFormat="1">
      <c r="B20" s="226" t="s">
        <v>432</v>
      </c>
      <c r="C20" s="153" t="s">
        <v>128</v>
      </c>
      <c r="D20" s="596">
        <v>0.11430751049999997</v>
      </c>
      <c r="E20" s="597">
        <v>1.6093514906274384</v>
      </c>
      <c r="F20" s="597">
        <v>0.88143785241718042</v>
      </c>
      <c r="G20" s="597">
        <v>0.89991596159999998</v>
      </c>
      <c r="H20" s="597">
        <v>0.72940492493657105</v>
      </c>
      <c r="I20" s="597">
        <v>0.13838596485484678</v>
      </c>
      <c r="J20" s="597">
        <v>0.90331804825619666</v>
      </c>
      <c r="K20" s="597">
        <v>3.1726276368512778</v>
      </c>
    </row>
    <row r="21" spans="2:12" s="2" customFormat="1">
      <c r="B21" s="226" t="s">
        <v>500</v>
      </c>
      <c r="C21" s="153" t="s">
        <v>128</v>
      </c>
      <c r="D21" s="634">
        <v>1.2700834499999997E-2</v>
      </c>
      <c r="E21" s="635">
        <v>0.17881683229193762</v>
      </c>
      <c r="F21" s="635">
        <v>9.7937539157464504E-2</v>
      </c>
      <c r="G21" s="635">
        <v>9.9990662399999999E-2</v>
      </c>
      <c r="H21" s="635">
        <v>8.1044991659619009E-2</v>
      </c>
      <c r="I21" s="635">
        <v>1.5376218317205198E-2</v>
      </c>
      <c r="J21" s="635">
        <v>0.10036867202846629</v>
      </c>
      <c r="K21" s="635">
        <v>0.35251418187236422</v>
      </c>
    </row>
    <row r="22" spans="2:12" s="2" customFormat="1">
      <c r="B22" s="35"/>
      <c r="C22" s="139"/>
      <c r="D22" s="35"/>
      <c r="E22" s="35"/>
      <c r="F22" s="35"/>
      <c r="G22" s="35"/>
      <c r="H22" s="35"/>
      <c r="I22" s="35"/>
      <c r="J22" s="35"/>
      <c r="K22" s="35"/>
    </row>
    <row r="23" spans="2:12" s="2" customFormat="1">
      <c r="B23" s="226" t="s">
        <v>486</v>
      </c>
      <c r="C23" s="153" t="s">
        <v>128</v>
      </c>
      <c r="D23" s="634">
        <v>1.659</v>
      </c>
      <c r="E23" s="635">
        <v>0.05</v>
      </c>
      <c r="F23" s="635">
        <v>0</v>
      </c>
      <c r="G23" s="635">
        <v>0</v>
      </c>
      <c r="H23" s="635">
        <v>1.206229</v>
      </c>
      <c r="I23" s="635">
        <v>0.467057</v>
      </c>
      <c r="J23" s="635">
        <v>0</v>
      </c>
      <c r="K23" s="635">
        <v>0</v>
      </c>
    </row>
    <row r="24" spans="2:12" s="2" customFormat="1">
      <c r="B24" s="35"/>
      <c r="C24" s="139"/>
      <c r="D24" s="35"/>
      <c r="E24" s="35"/>
      <c r="F24" s="35"/>
      <c r="G24" s="35"/>
      <c r="H24" s="35"/>
      <c r="I24" s="35"/>
      <c r="J24" s="35"/>
      <c r="K24" s="35"/>
    </row>
    <row r="25" spans="2:12" s="2" customFormat="1">
      <c r="B25" s="81"/>
      <c r="C25" s="151"/>
      <c r="D25" s="81"/>
      <c r="E25" s="81"/>
      <c r="F25" s="81"/>
      <c r="G25" s="81"/>
      <c r="H25" s="81"/>
      <c r="I25" s="81"/>
      <c r="J25" s="81"/>
      <c r="K25" s="81"/>
      <c r="L25" s="81"/>
    </row>
    <row r="26" spans="2:12" s="2" customFormat="1">
      <c r="B26" s="35"/>
      <c r="C26" s="139"/>
      <c r="D26" s="35"/>
      <c r="E26" s="35"/>
      <c r="F26" s="35"/>
      <c r="G26" s="35"/>
      <c r="H26" s="35"/>
      <c r="I26" s="35"/>
      <c r="J26" s="35"/>
      <c r="K26" s="35"/>
    </row>
    <row r="27" spans="2:12" s="2" customFormat="1">
      <c r="B27" s="51" t="s">
        <v>378</v>
      </c>
      <c r="C27" s="139"/>
      <c r="D27" s="35"/>
      <c r="E27" s="35"/>
      <c r="F27" s="35"/>
      <c r="G27" s="35"/>
      <c r="H27" s="35"/>
      <c r="I27" s="35"/>
      <c r="J27" s="35"/>
      <c r="K27" s="35"/>
    </row>
    <row r="28" spans="2:12" s="2" customFormat="1">
      <c r="B28" s="226" t="s">
        <v>484</v>
      </c>
      <c r="C28" s="156" t="str">
        <f>'RFPR cover'!$C$14</f>
        <v>£m 12/13</v>
      </c>
      <c r="D28" s="682">
        <f>(SUM(D10,D11,D21)-D23)/Data!C34</f>
        <v>-1.3063495693826608</v>
      </c>
      <c r="E28" s="682">
        <f>(SUM(E10,E11,E21)-E23)/Data!D34</f>
        <v>0.41286523660227348</v>
      </c>
      <c r="F28" s="682">
        <f>(SUM(F10,F11,F21)-F23)/Data!E34</f>
        <v>0.36997184104264319</v>
      </c>
      <c r="G28" s="682">
        <f>(SUM(G10,G11,G21)-G23)/Data!F34</f>
        <v>0.37822377202755297</v>
      </c>
      <c r="H28" s="682">
        <f>(SUM(H10,H11,H21)-H23)/Data!G34</f>
        <v>-0.66110804308436555</v>
      </c>
      <c r="I28" s="682">
        <f>(SUM(I10,I11,I21)-I23)/Data!H34</f>
        <v>-9.285003067375322E-2</v>
      </c>
      <c r="J28" s="682">
        <f>(SUM(J10,J11,J21)-J23)/Data!I34</f>
        <v>0.33346402938921954</v>
      </c>
      <c r="K28" s="682">
        <f>(SUM(K10,K11,K21)-K23)/Data!J34</f>
        <v>0.41653435417106005</v>
      </c>
      <c r="L28" s="35"/>
    </row>
  </sheetData>
  <conditionalFormatting sqref="D6:K6">
    <cfRule type="expression" dxfId="43" priority="24">
      <formula>AND(D$5="Actuals",E$5="Forecast")</formula>
    </cfRule>
  </conditionalFormatting>
  <conditionalFormatting sqref="D5:K5">
    <cfRule type="expression" dxfId="4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1"/>
  <sheetViews>
    <sheetView showGridLines="0" zoomScale="90" zoomScaleNormal="90" workbookViewId="0">
      <pane ySplit="6" topLeftCell="A7" activePane="bottomLeft" state="frozen"/>
      <selection activeCell="B75" sqref="A1:XFD1048576"/>
      <selection pane="bottomLeft" activeCell="B20" sqref="B20"/>
    </sheetView>
  </sheetViews>
  <sheetFormatPr defaultRowHeight="12.75"/>
  <cols>
    <col min="1" max="1" width="8.375" customWidth="1"/>
    <col min="2" max="2" width="101.75" customWidth="1"/>
    <col min="3" max="3" width="14.125" customWidth="1"/>
    <col min="4" max="11" width="11.125" customWidth="1"/>
    <col min="12" max="13" width="12.875" customWidth="1"/>
    <col min="14" max="14" width="5" customWidth="1"/>
  </cols>
  <sheetData>
    <row r="1" spans="1:14" s="31" customFormat="1" ht="20.25">
      <c r="A1" s="925" t="s">
        <v>263</v>
      </c>
      <c r="B1" s="921"/>
      <c r="C1" s="257"/>
      <c r="D1" s="257"/>
      <c r="E1" s="257"/>
      <c r="F1" s="257"/>
      <c r="G1" s="257"/>
      <c r="H1" s="257"/>
      <c r="I1" s="258"/>
      <c r="J1" s="258"/>
      <c r="K1" s="259"/>
      <c r="L1" s="259"/>
      <c r="M1" s="259"/>
      <c r="N1" s="260"/>
    </row>
    <row r="2" spans="1:14" s="31" customFormat="1" ht="20.25">
      <c r="A2" s="914" t="str">
        <f>'RFPR cover'!C5</f>
        <v>ENWL</v>
      </c>
      <c r="B2" s="906"/>
      <c r="C2" s="29"/>
      <c r="D2" s="29"/>
      <c r="E2" s="29"/>
      <c r="F2" s="29"/>
      <c r="G2" s="29"/>
      <c r="H2" s="29"/>
      <c r="I2" s="27"/>
      <c r="J2" s="27"/>
      <c r="K2" s="27"/>
      <c r="L2" s="27"/>
      <c r="M2" s="27"/>
      <c r="N2" s="124"/>
    </row>
    <row r="3" spans="1:14" s="31" customFormat="1" ht="23.25">
      <c r="A3" s="917">
        <f>'RFPR cover'!C7</f>
        <v>2023</v>
      </c>
      <c r="B3" s="923" t="str">
        <f>'R1 - RoRE'!B3</f>
        <v/>
      </c>
      <c r="C3" s="261"/>
      <c r="D3" s="261"/>
      <c r="E3" s="261"/>
      <c r="F3" s="261"/>
      <c r="G3" s="261"/>
      <c r="H3" s="261"/>
      <c r="I3" s="256"/>
      <c r="J3" s="256"/>
      <c r="K3" s="256"/>
      <c r="L3" s="256"/>
      <c r="M3" s="256"/>
      <c r="N3" s="262"/>
    </row>
    <row r="4" spans="1:14" s="31" customFormat="1" ht="12.75" customHeight="1">
      <c r="A4" s="39"/>
      <c r="B4" s="39"/>
      <c r="C4" s="39"/>
      <c r="D4" s="39"/>
      <c r="E4" s="39"/>
      <c r="F4" s="39"/>
      <c r="G4" s="39"/>
      <c r="H4" s="39"/>
      <c r="I4" s="34"/>
      <c r="J4" s="34"/>
      <c r="K4" s="34"/>
      <c r="L4" s="33"/>
    </row>
    <row r="5" spans="1:14" s="2" customForma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Actuals</v>
      </c>
    </row>
    <row r="6" spans="1:14" s="2" customFormat="1" ht="25.5">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102" t="str">
        <f>"Cumulative to "&amp;'RFPR cover'!$C$7</f>
        <v>Cumulative to 2023</v>
      </c>
      <c r="M6" s="282" t="s">
        <v>109</v>
      </c>
    </row>
    <row r="7" spans="1:14" s="2" customFormat="1"/>
    <row r="8" spans="1:14">
      <c r="B8" s="481" t="s">
        <v>302</v>
      </c>
      <c r="C8" s="153" t="s">
        <v>128</v>
      </c>
      <c r="D8" s="349">
        <v>93.133847825396813</v>
      </c>
      <c r="E8" s="387">
        <v>178.40435555395075</v>
      </c>
      <c r="F8" s="387">
        <v>42.010452085122871</v>
      </c>
      <c r="G8" s="387">
        <v>103.46558244928286</v>
      </c>
      <c r="H8" s="387">
        <v>66.557332380000005</v>
      </c>
      <c r="I8" s="387">
        <v>111.2989106758212</v>
      </c>
      <c r="J8" s="387">
        <v>149.80901159000001</v>
      </c>
      <c r="K8" s="388">
        <v>0.50439567000000451</v>
      </c>
      <c r="L8" s="35"/>
      <c r="M8" s="35"/>
    </row>
    <row r="9" spans="1:14">
      <c r="B9" s="14"/>
      <c r="C9" s="153"/>
      <c r="D9" s="230"/>
      <c r="E9" s="230"/>
      <c r="F9" s="230"/>
      <c r="G9" s="230"/>
      <c r="H9" s="230"/>
      <c r="I9" s="230"/>
      <c r="J9" s="230"/>
      <c r="K9" s="230"/>
      <c r="L9" s="35"/>
      <c r="M9" s="35"/>
    </row>
    <row r="10" spans="1:14">
      <c r="B10" s="14" t="s">
        <v>462</v>
      </c>
      <c r="C10" s="16"/>
      <c r="D10" s="231"/>
      <c r="E10" s="231"/>
      <c r="F10" s="231"/>
      <c r="G10" s="231"/>
      <c r="H10" s="231"/>
      <c r="I10" s="231"/>
      <c r="J10" s="231"/>
      <c r="K10" s="231"/>
      <c r="L10" s="35"/>
      <c r="M10" s="35"/>
    </row>
    <row r="11" spans="1:14">
      <c r="B11" s="371" t="s">
        <v>12</v>
      </c>
      <c r="C11" s="153" t="s">
        <v>128</v>
      </c>
      <c r="D11" s="379">
        <v>0</v>
      </c>
      <c r="E11" s="380">
        <v>0</v>
      </c>
      <c r="F11" s="380">
        <v>0</v>
      </c>
      <c r="G11" s="380">
        <v>0</v>
      </c>
      <c r="H11" s="380">
        <v>0</v>
      </c>
      <c r="I11" s="380">
        <v>0</v>
      </c>
      <c r="J11" s="380">
        <v>0</v>
      </c>
      <c r="K11" s="384">
        <v>0</v>
      </c>
      <c r="L11" s="35"/>
      <c r="M11" s="35"/>
    </row>
    <row r="12" spans="1:14">
      <c r="B12" s="371" t="s">
        <v>13</v>
      </c>
      <c r="C12" s="153" t="s">
        <v>128</v>
      </c>
      <c r="D12" s="348">
        <v>-42.8</v>
      </c>
      <c r="E12" s="381">
        <v>-106.2</v>
      </c>
      <c r="F12" s="381">
        <v>30.1</v>
      </c>
      <c r="G12" s="381">
        <v>-47.307158000000001</v>
      </c>
      <c r="H12" s="381">
        <v>-12.3</v>
      </c>
      <c r="I12" s="381">
        <v>-57.946798000000001</v>
      </c>
      <c r="J12" s="381">
        <v>-76.5</v>
      </c>
      <c r="K12" s="385">
        <v>125.15157456999999</v>
      </c>
      <c r="L12" s="35"/>
      <c r="M12" s="35"/>
    </row>
    <row r="13" spans="1:14">
      <c r="B13" s="371" t="s">
        <v>14</v>
      </c>
      <c r="C13" s="153" t="s">
        <v>128</v>
      </c>
      <c r="D13" s="348">
        <v>0</v>
      </c>
      <c r="E13" s="381">
        <v>0</v>
      </c>
      <c r="F13" s="381">
        <v>0</v>
      </c>
      <c r="G13" s="381">
        <v>0</v>
      </c>
      <c r="H13" s="381">
        <v>0</v>
      </c>
      <c r="I13" s="381">
        <v>0</v>
      </c>
      <c r="J13" s="381">
        <v>0</v>
      </c>
      <c r="K13" s="385">
        <v>0</v>
      </c>
      <c r="L13" s="35"/>
      <c r="M13" s="35"/>
    </row>
    <row r="14" spans="1:14">
      <c r="B14" s="371" t="s">
        <v>15</v>
      </c>
      <c r="C14" s="153" t="s">
        <v>128</v>
      </c>
      <c r="D14" s="348">
        <v>0</v>
      </c>
      <c r="E14" s="381">
        <v>0</v>
      </c>
      <c r="F14" s="381">
        <v>0</v>
      </c>
      <c r="G14" s="381">
        <v>0</v>
      </c>
      <c r="H14" s="381">
        <v>0</v>
      </c>
      <c r="I14" s="381">
        <v>0</v>
      </c>
      <c r="J14" s="381">
        <v>0</v>
      </c>
      <c r="K14" s="385">
        <v>0</v>
      </c>
      <c r="L14" s="35"/>
      <c r="M14" s="35"/>
    </row>
    <row r="15" spans="1:14">
      <c r="B15" s="371" t="s">
        <v>16</v>
      </c>
      <c r="C15" s="153" t="s">
        <v>128</v>
      </c>
      <c r="D15" s="348">
        <v>0</v>
      </c>
      <c r="E15" s="381">
        <v>0</v>
      </c>
      <c r="F15" s="381">
        <v>0</v>
      </c>
      <c r="G15" s="381">
        <v>0</v>
      </c>
      <c r="H15" s="381">
        <v>0</v>
      </c>
      <c r="I15" s="381">
        <v>0</v>
      </c>
      <c r="J15" s="381">
        <v>0</v>
      </c>
      <c r="K15" s="385">
        <v>0</v>
      </c>
      <c r="L15" s="35"/>
      <c r="M15" s="35"/>
    </row>
    <row r="16" spans="1:14">
      <c r="B16" s="371" t="s">
        <v>17</v>
      </c>
      <c r="C16" s="153" t="s">
        <v>128</v>
      </c>
      <c r="D16" s="348">
        <v>0</v>
      </c>
      <c r="E16" s="381">
        <v>-0.1</v>
      </c>
      <c r="F16" s="381">
        <v>-1.1000000000000001</v>
      </c>
      <c r="G16" s="381">
        <v>-0.33600000000000002</v>
      </c>
      <c r="H16" s="381">
        <v>0.95416999999999996</v>
      </c>
      <c r="I16" s="381">
        <v>-0.2762</v>
      </c>
      <c r="J16" s="381">
        <v>-1.29939998</v>
      </c>
      <c r="K16" s="385">
        <v>0.84599999999999997</v>
      </c>
      <c r="L16" s="35"/>
    </row>
    <row r="17" spans="2:13">
      <c r="B17" s="371" t="s">
        <v>281</v>
      </c>
      <c r="C17" s="153" t="s">
        <v>128</v>
      </c>
      <c r="D17" s="348">
        <v>-0.7797075</v>
      </c>
      <c r="E17" s="381">
        <v>-0.58231305</v>
      </c>
      <c r="F17" s="381">
        <v>-0.80999320000000008</v>
      </c>
      <c r="G17" s="381">
        <v>3.8301258000000002</v>
      </c>
      <c r="H17" s="381">
        <v>4.05</v>
      </c>
      <c r="I17" s="381">
        <v>4.1036407000000006</v>
      </c>
      <c r="J17" s="381">
        <v>4.7967591900000004</v>
      </c>
      <c r="K17" s="385">
        <v>5.2420099500000008</v>
      </c>
      <c r="L17" s="35"/>
    </row>
    <row r="18" spans="2:13" ht="12.75" customHeight="1">
      <c r="B18" s="371" t="s">
        <v>18</v>
      </c>
      <c r="C18" s="153" t="s">
        <v>128</v>
      </c>
      <c r="D18" s="348">
        <v>0</v>
      </c>
      <c r="E18" s="381">
        <v>0</v>
      </c>
      <c r="F18" s="381">
        <v>0</v>
      </c>
      <c r="G18" s="381">
        <v>-9.452555E-2</v>
      </c>
      <c r="H18" s="381">
        <v>0</v>
      </c>
      <c r="I18" s="381">
        <v>-6.3557089999999997E-2</v>
      </c>
      <c r="J18" s="381">
        <v>-8.2421910000000001E-2</v>
      </c>
      <c r="K18" s="385">
        <v>-7.0823009999999992E-2</v>
      </c>
      <c r="L18" s="35"/>
    </row>
    <row r="19" spans="2:13">
      <c r="B19" s="371" t="s">
        <v>619</v>
      </c>
      <c r="C19" s="153" t="s">
        <v>128</v>
      </c>
      <c r="D19" s="348">
        <v>0</v>
      </c>
      <c r="E19" s="381">
        <v>-16.2</v>
      </c>
      <c r="F19" s="381">
        <v>-8.8000000000000007</v>
      </c>
      <c r="G19" s="381">
        <v>0</v>
      </c>
      <c r="H19" s="381">
        <v>0</v>
      </c>
      <c r="I19" s="381">
        <v>0</v>
      </c>
      <c r="J19" s="381">
        <v>0</v>
      </c>
      <c r="K19" s="385">
        <v>-20.136600000000001</v>
      </c>
      <c r="L19" s="35"/>
    </row>
    <row r="20" spans="2:13">
      <c r="B20" s="371" t="s">
        <v>620</v>
      </c>
      <c r="C20" s="153" t="s">
        <v>128</v>
      </c>
      <c r="D20" s="348">
        <v>0</v>
      </c>
      <c r="E20" s="381">
        <v>0</v>
      </c>
      <c r="F20" s="381">
        <v>0</v>
      </c>
      <c r="G20" s="381">
        <v>0</v>
      </c>
      <c r="H20" s="381">
        <v>-0.29399999999999998</v>
      </c>
      <c r="I20" s="381">
        <v>-0.23309226</v>
      </c>
      <c r="J20" s="381">
        <v>-0.22091344999999998</v>
      </c>
      <c r="K20" s="385">
        <v>-0.20913822000000001</v>
      </c>
      <c r="L20" s="35"/>
    </row>
    <row r="21" spans="2:13">
      <c r="B21" s="371" t="s">
        <v>621</v>
      </c>
      <c r="C21" s="153" t="s">
        <v>128</v>
      </c>
      <c r="D21" s="348">
        <v>3.608257</v>
      </c>
      <c r="E21" s="381">
        <v>8.6995285543512892</v>
      </c>
      <c r="F21" s="381">
        <v>14.359395866581735</v>
      </c>
      <c r="G21" s="381">
        <v>10.028599999999997</v>
      </c>
      <c r="H21" s="381">
        <v>8.4230000000000018</v>
      </c>
      <c r="I21" s="381">
        <v>5.7494665568050962</v>
      </c>
      <c r="J21" s="381">
        <v>29.8</v>
      </c>
      <c r="K21" s="385">
        <v>57.09353999432097</v>
      </c>
      <c r="L21" s="35"/>
    </row>
    <row r="22" spans="2:13">
      <c r="B22" s="371" t="s">
        <v>622</v>
      </c>
      <c r="C22" s="153" t="s">
        <v>128</v>
      </c>
      <c r="D22" s="348">
        <v>0</v>
      </c>
      <c r="E22" s="381">
        <v>0</v>
      </c>
      <c r="F22" s="381">
        <v>0</v>
      </c>
      <c r="G22" s="381">
        <v>0</v>
      </c>
      <c r="H22" s="381">
        <v>0</v>
      </c>
      <c r="I22" s="381">
        <v>0</v>
      </c>
      <c r="J22" s="381">
        <v>0</v>
      </c>
      <c r="K22" s="385">
        <v>0</v>
      </c>
      <c r="L22" s="35"/>
    </row>
    <row r="23" spans="2:13">
      <c r="B23" s="371" t="s">
        <v>623</v>
      </c>
      <c r="C23" s="153" t="s">
        <v>128</v>
      </c>
      <c r="D23" s="348">
        <v>0</v>
      </c>
      <c r="E23" s="381">
        <v>0</v>
      </c>
      <c r="F23" s="381">
        <v>0</v>
      </c>
      <c r="G23" s="381">
        <v>0</v>
      </c>
      <c r="H23" s="381">
        <v>0</v>
      </c>
      <c r="I23" s="381">
        <v>0</v>
      </c>
      <c r="J23" s="381">
        <v>0</v>
      </c>
      <c r="K23" s="385">
        <v>0</v>
      </c>
      <c r="L23" s="35"/>
    </row>
    <row r="24" spans="2:13">
      <c r="B24" s="371" t="s">
        <v>624</v>
      </c>
      <c r="C24" s="153" t="s">
        <v>128</v>
      </c>
      <c r="D24" s="348">
        <v>0</v>
      </c>
      <c r="E24" s="381">
        <v>0</v>
      </c>
      <c r="F24" s="381">
        <v>0</v>
      </c>
      <c r="G24" s="381">
        <v>0</v>
      </c>
      <c r="H24" s="381">
        <v>0</v>
      </c>
      <c r="I24" s="381">
        <v>0</v>
      </c>
      <c r="J24" s="381">
        <v>0</v>
      </c>
      <c r="K24" s="385">
        <v>0</v>
      </c>
      <c r="L24" s="35"/>
    </row>
    <row r="25" spans="2:13">
      <c r="B25" s="371" t="s">
        <v>625</v>
      </c>
      <c r="C25" s="153" t="s">
        <v>128</v>
      </c>
      <c r="D25" s="348">
        <v>0</v>
      </c>
      <c r="E25" s="381">
        <v>0</v>
      </c>
      <c r="F25" s="381">
        <v>0</v>
      </c>
      <c r="G25" s="381">
        <v>0</v>
      </c>
      <c r="H25" s="381">
        <v>0</v>
      </c>
      <c r="I25" s="381">
        <v>0</v>
      </c>
      <c r="J25" s="381">
        <v>0</v>
      </c>
      <c r="K25" s="385">
        <v>0</v>
      </c>
      <c r="L25" s="35"/>
    </row>
    <row r="26" spans="2:13">
      <c r="B26" s="371" t="s">
        <v>626</v>
      </c>
      <c r="C26" s="153" t="s">
        <v>128</v>
      </c>
      <c r="D26" s="348">
        <v>0</v>
      </c>
      <c r="E26" s="381">
        <v>0</v>
      </c>
      <c r="F26" s="381">
        <v>0</v>
      </c>
      <c r="G26" s="381">
        <v>0</v>
      </c>
      <c r="H26" s="381">
        <v>0</v>
      </c>
      <c r="I26" s="381">
        <v>0</v>
      </c>
      <c r="J26" s="381">
        <v>0</v>
      </c>
      <c r="K26" s="385">
        <v>0</v>
      </c>
      <c r="L26" s="35"/>
    </row>
    <row r="27" spans="2:13">
      <c r="B27" s="371" t="s">
        <v>627</v>
      </c>
      <c r="C27" s="153" t="s">
        <v>128</v>
      </c>
      <c r="D27" s="382">
        <v>0</v>
      </c>
      <c r="E27" s="383">
        <v>0</v>
      </c>
      <c r="F27" s="383">
        <v>0</v>
      </c>
      <c r="G27" s="383">
        <v>0</v>
      </c>
      <c r="H27" s="383">
        <v>0</v>
      </c>
      <c r="I27" s="383">
        <v>0</v>
      </c>
      <c r="J27" s="383">
        <v>0</v>
      </c>
      <c r="K27" s="386">
        <v>0</v>
      </c>
      <c r="L27" s="35"/>
    </row>
    <row r="28" spans="2:13">
      <c r="B28" s="13" t="s">
        <v>19</v>
      </c>
      <c r="C28" s="153" t="s">
        <v>128</v>
      </c>
      <c r="D28" s="143">
        <f t="shared" ref="D28:K28" si="1">SUM(D8,D11:D27)</f>
        <v>53.162397325396817</v>
      </c>
      <c r="E28" s="144">
        <f t="shared" si="1"/>
        <v>64.021571058302044</v>
      </c>
      <c r="F28" s="144">
        <f t="shared" si="1"/>
        <v>75.759854751704623</v>
      </c>
      <c r="G28" s="144">
        <f t="shared" si="1"/>
        <v>69.586624699282851</v>
      </c>
      <c r="H28" s="144">
        <f t="shared" si="1"/>
        <v>67.390502380000015</v>
      </c>
      <c r="I28" s="144">
        <f t="shared" si="1"/>
        <v>62.632370582626294</v>
      </c>
      <c r="J28" s="144">
        <f t="shared" si="1"/>
        <v>106.30303544000002</v>
      </c>
      <c r="K28" s="145">
        <f t="shared" si="1"/>
        <v>168.42095895432098</v>
      </c>
      <c r="L28" s="35"/>
    </row>
    <row r="29" spans="2:13">
      <c r="B29" s="372" t="s">
        <v>523</v>
      </c>
      <c r="C29" s="153" t="s">
        <v>128</v>
      </c>
      <c r="D29" s="389"/>
      <c r="E29" s="390"/>
      <c r="F29" s="390"/>
      <c r="G29" s="683"/>
      <c r="H29" s="683"/>
      <c r="I29" s="683"/>
      <c r="J29" s="683">
        <v>0</v>
      </c>
      <c r="K29" s="684"/>
      <c r="L29" s="35"/>
    </row>
    <row r="30" spans="2:13">
      <c r="B30" s="347" t="s">
        <v>303</v>
      </c>
      <c r="C30" s="153" t="s">
        <v>128</v>
      </c>
      <c r="D30" s="143">
        <f>SUM(D28:D29)</f>
        <v>53.162397325396817</v>
      </c>
      <c r="E30" s="144">
        <f t="shared" ref="E30:K30" si="2">SUM(E28:E29)</f>
        <v>64.021571058302044</v>
      </c>
      <c r="F30" s="144">
        <f t="shared" si="2"/>
        <v>75.759854751704623</v>
      </c>
      <c r="G30" s="144">
        <f t="shared" si="2"/>
        <v>69.586624699282851</v>
      </c>
      <c r="H30" s="144">
        <f t="shared" si="2"/>
        <v>67.390502380000015</v>
      </c>
      <c r="I30" s="144">
        <f t="shared" si="2"/>
        <v>62.632370582626294</v>
      </c>
      <c r="J30" s="144">
        <f t="shared" si="2"/>
        <v>106.30303544000002</v>
      </c>
      <c r="K30" s="145">
        <f t="shared" si="2"/>
        <v>168.42095895432098</v>
      </c>
      <c r="M30" t="s">
        <v>562</v>
      </c>
    </row>
    <row r="31" spans="2:13">
      <c r="B31" s="214" t="s">
        <v>21</v>
      </c>
      <c r="C31" s="153" t="s">
        <v>128</v>
      </c>
      <c r="D31" s="588">
        <v>37.834151611111103</v>
      </c>
      <c r="E31" s="589">
        <v>49.33033146546245</v>
      </c>
      <c r="F31" s="589">
        <v>61.038991251026196</v>
      </c>
      <c r="G31" s="589">
        <v>55.33152811999998</v>
      </c>
      <c r="H31" s="589">
        <v>52.867597380000021</v>
      </c>
      <c r="I31" s="589">
        <v>45.297341122626293</v>
      </c>
      <c r="J31" s="589">
        <v>95.853480290000022</v>
      </c>
      <c r="K31" s="685">
        <v>157.58143183432099</v>
      </c>
    </row>
    <row r="32" spans="2:13">
      <c r="B32" s="214" t="s">
        <v>456</v>
      </c>
      <c r="C32" s="153" t="s">
        <v>128</v>
      </c>
      <c r="D32" s="592">
        <v>15.328245714285714</v>
      </c>
      <c r="E32" s="593">
        <v>14.691239592839594</v>
      </c>
      <c r="F32" s="593">
        <v>14.720863500678426</v>
      </c>
      <c r="G32" s="593">
        <v>14.255096579282869</v>
      </c>
      <c r="H32" s="593">
        <v>14.522904999999998</v>
      </c>
      <c r="I32" s="593">
        <v>17.335029460000001</v>
      </c>
      <c r="J32" s="593">
        <v>10.449555149999998</v>
      </c>
      <c r="K32" s="686">
        <v>10.83952712</v>
      </c>
    </row>
    <row r="33" spans="2:14">
      <c r="B33" s="214"/>
      <c r="D33" s="227" t="str">
        <f>IF(ABS(D30-SUM(D31:D32))&lt;'RFPR cover'!$F$14,"OK","ERROR")</f>
        <v>OK</v>
      </c>
      <c r="E33" s="228" t="str">
        <f>IF(ABS(E30-SUM(E31:E32))&lt;'RFPR cover'!$F$14,"OK","ERROR")</f>
        <v>OK</v>
      </c>
      <c r="F33" s="228" t="str">
        <f>IF(ABS(F30-SUM(F31:F32))&lt;'RFPR cover'!$F$14,"OK","ERROR")</f>
        <v>OK</v>
      </c>
      <c r="G33" s="228" t="str">
        <f>IF(ABS(G30-SUM(G31:G32))&lt;'RFPR cover'!$F$14,"OK","ERROR")</f>
        <v>OK</v>
      </c>
      <c r="H33" s="228" t="str">
        <f>IF(ABS(H30-SUM(H31:H32))&lt;'RFPR cover'!$F$14,"OK","ERROR")</f>
        <v>OK</v>
      </c>
      <c r="I33" s="228" t="str">
        <f>IF(ABS(I30-SUM(I31:I32))&lt;'RFPR cover'!$F$14,"OK","ERROR")</f>
        <v>OK</v>
      </c>
      <c r="J33" s="228" t="str">
        <f>IF(ABS(J30-SUM(J31:J32))&lt;'RFPR cover'!$F$14,"OK","ERROR")</f>
        <v>OK</v>
      </c>
      <c r="K33" s="229" t="str">
        <f>IF(ABS(K30-SUM(K31:K32))&lt;'RFPR cover'!$F$14,"OK","ERROR")</f>
        <v>OK</v>
      </c>
    </row>
    <row r="34" spans="2:14">
      <c r="D34" s="23"/>
      <c r="E34" s="23"/>
      <c r="F34" s="23"/>
      <c r="G34" s="23"/>
      <c r="H34" s="23"/>
      <c r="I34" s="23"/>
      <c r="J34" s="23"/>
      <c r="K34" s="23"/>
    </row>
    <row r="35" spans="2:14">
      <c r="B35" s="214" t="s">
        <v>517</v>
      </c>
      <c r="C35" s="153" t="s">
        <v>128</v>
      </c>
      <c r="D35" s="588">
        <v>3.9</v>
      </c>
      <c r="E35" s="589">
        <v>9.5</v>
      </c>
      <c r="F35" s="589">
        <v>15.3</v>
      </c>
      <c r="G35" s="589">
        <v>11.414448759999999</v>
      </c>
      <c r="H35" s="589">
        <v>10.198254</v>
      </c>
      <c r="I35" s="589">
        <v>5.6730880499999996</v>
      </c>
      <c r="J35" s="589">
        <v>25.18878183</v>
      </c>
      <c r="K35" s="685">
        <v>55.237336249999998</v>
      </c>
    </row>
    <row r="36" spans="2:14">
      <c r="D36" s="23"/>
      <c r="E36" s="23"/>
      <c r="F36" s="23"/>
      <c r="G36" s="23"/>
      <c r="H36" s="23"/>
      <c r="I36" s="23"/>
      <c r="J36" s="23"/>
      <c r="K36" s="23"/>
    </row>
    <row r="37" spans="2:14">
      <c r="B37" s="214" t="s">
        <v>82</v>
      </c>
      <c r="C37" s="153" t="s">
        <v>128</v>
      </c>
      <c r="D37" s="884">
        <v>12.234304077891597</v>
      </c>
      <c r="E37" s="884">
        <v>24.810315298381045</v>
      </c>
      <c r="F37" s="884">
        <v>43.500607353352564</v>
      </c>
      <c r="G37" s="884">
        <v>35.672337692315175</v>
      </c>
      <c r="H37" s="884">
        <v>30.730150385091221</v>
      </c>
      <c r="I37" s="884">
        <v>16.238641486729765</v>
      </c>
      <c r="J37" s="884">
        <v>79.66185461667574</v>
      </c>
      <c r="K37" s="884">
        <v>196.28442740805224</v>
      </c>
      <c r="N37" s="323"/>
    </row>
    <row r="38" spans="2:14" s="31" customFormat="1">
      <c r="B38" s="213"/>
      <c r="C38" s="824"/>
      <c r="D38" s="826"/>
      <c r="E38" s="826"/>
      <c r="F38" s="826"/>
      <c r="G38" s="826"/>
      <c r="H38" s="826"/>
      <c r="I38" s="826"/>
      <c r="J38" s="826"/>
      <c r="K38" s="826"/>
      <c r="L38"/>
      <c r="M38"/>
      <c r="N38" s="825"/>
    </row>
    <row r="39" spans="2:14">
      <c r="B39" s="214" t="s">
        <v>470</v>
      </c>
      <c r="C39" s="153" t="s">
        <v>128</v>
      </c>
      <c r="D39" s="103">
        <f t="shared" ref="D39:K39" si="3">D30-D37</f>
        <v>40.928093247505217</v>
      </c>
      <c r="E39" s="103">
        <f t="shared" si="3"/>
        <v>39.211255759921002</v>
      </c>
      <c r="F39" s="103">
        <f t="shared" si="3"/>
        <v>32.259247398352059</v>
      </c>
      <c r="G39" s="103">
        <f t="shared" si="3"/>
        <v>33.914287006967676</v>
      </c>
      <c r="H39" s="103">
        <f t="shared" si="3"/>
        <v>36.660351994908794</v>
      </c>
      <c r="I39" s="103">
        <f t="shared" si="3"/>
        <v>46.393729095896532</v>
      </c>
      <c r="J39" s="103">
        <f t="shared" si="3"/>
        <v>26.641180823324277</v>
      </c>
      <c r="K39" s="103">
        <f t="shared" si="3"/>
        <v>-27.863468453731258</v>
      </c>
    </row>
    <row r="40" spans="2:14">
      <c r="B40" s="214"/>
      <c r="C40" s="153"/>
      <c r="D40" s="153"/>
      <c r="E40" s="153"/>
      <c r="F40" s="153"/>
      <c r="G40" s="153"/>
      <c r="H40" s="153"/>
      <c r="I40" s="153"/>
      <c r="J40" s="153"/>
      <c r="K40" s="153"/>
      <c r="L40" s="153"/>
      <c r="N40" s="323"/>
    </row>
    <row r="41" spans="2:14">
      <c r="B41" s="854" t="s">
        <v>360</v>
      </c>
      <c r="C41" s="153" t="s">
        <v>127</v>
      </c>
      <c r="D41" s="506">
        <f>Data!C34</f>
        <v>1.0603167467048125</v>
      </c>
      <c r="E41" s="506">
        <f>Data!D34</f>
        <v>1.0830366813119445</v>
      </c>
      <c r="F41" s="506">
        <f>Data!E34</f>
        <v>1.1235639113109226</v>
      </c>
      <c r="G41" s="506">
        <f>Data!F34</f>
        <v>1.1578951670583426</v>
      </c>
      <c r="H41" s="506">
        <f>Data!G34</f>
        <v>1.1878696229692449</v>
      </c>
      <c r="I41" s="506">
        <f>Data!H34</f>
        <v>1.2022764892203943</v>
      </c>
      <c r="J41" s="506">
        <f>Data!I34</f>
        <v>1.2717196280780627</v>
      </c>
      <c r="K41" s="506">
        <f>Data!J34</f>
        <v>1.4354429345049555</v>
      </c>
      <c r="L41" s="153"/>
      <c r="N41" s="323"/>
    </row>
    <row r="42" spans="2:14">
      <c r="L42" s="156"/>
      <c r="M42" s="156"/>
      <c r="N42" s="156"/>
    </row>
    <row r="43" spans="2:14">
      <c r="B43" s="835" t="s">
        <v>416</v>
      </c>
      <c r="C43" s="157" t="str">
        <f>'RFPR cover'!$C$14</f>
        <v>£m 12/13</v>
      </c>
      <c r="D43" s="146">
        <f t="shared" ref="D43:K43" si="4">D39/D41</f>
        <v>38.599874400455377</v>
      </c>
      <c r="E43" s="147">
        <f t="shared" si="4"/>
        <v>36.204919405335524</v>
      </c>
      <c r="F43" s="147">
        <f t="shared" si="4"/>
        <v>28.711537522341256</v>
      </c>
      <c r="G43" s="147">
        <f t="shared" si="4"/>
        <v>29.289600623455097</v>
      </c>
      <c r="H43" s="147">
        <f t="shared" si="4"/>
        <v>30.862269129562517</v>
      </c>
      <c r="I43" s="147">
        <f t="shared" si="4"/>
        <v>38.588236160203166</v>
      </c>
      <c r="J43" s="147">
        <f t="shared" si="4"/>
        <v>20.948942074273738</v>
      </c>
      <c r="K43" s="148">
        <f t="shared" si="4"/>
        <v>-19.411059669425729</v>
      </c>
      <c r="L43" s="692">
        <f>SUM(D43:INDEX(D43:K43,0,MATCH('RFPR cover'!$C$7,$D$6:$K$6,0)))</f>
        <v>203.79431964620093</v>
      </c>
      <c r="M43" s="693">
        <f>SUM(D43:K43)</f>
        <v>203.79431964620093</v>
      </c>
    </row>
    <row r="44" spans="2:14">
      <c r="B44" s="214"/>
      <c r="C44" s="66"/>
      <c r="D44" s="807"/>
      <c r="E44" s="807"/>
      <c r="F44" s="807"/>
      <c r="G44" s="807"/>
      <c r="H44" s="807"/>
      <c r="I44" s="807"/>
      <c r="J44" s="807"/>
      <c r="K44" s="807"/>
      <c r="L44" s="830"/>
      <c r="M44" s="830"/>
    </row>
    <row r="45" spans="2:14">
      <c r="B45" s="835" t="s">
        <v>506</v>
      </c>
      <c r="C45" s="153"/>
      <c r="D45" s="807"/>
      <c r="E45" s="807"/>
      <c r="F45" s="807"/>
      <c r="G45" s="807"/>
      <c r="H45" s="807"/>
      <c r="I45" s="807"/>
      <c r="J45" s="807"/>
      <c r="K45" s="807"/>
      <c r="L45" s="830"/>
      <c r="M45" s="830"/>
    </row>
    <row r="46" spans="2:14">
      <c r="B46" s="371" t="s">
        <v>491</v>
      </c>
      <c r="C46" s="153" t="s">
        <v>128</v>
      </c>
      <c r="D46" s="883">
        <v>0.7797075</v>
      </c>
      <c r="E46" s="883">
        <v>0.58231305</v>
      </c>
      <c r="F46" s="883">
        <v>0.80999320000000008</v>
      </c>
      <c r="G46" s="883">
        <v>-3.8301258000000002</v>
      </c>
      <c r="H46" s="883">
        <v>-4.05</v>
      </c>
      <c r="I46" s="883">
        <v>-4.1036407000000006</v>
      </c>
      <c r="J46" s="883">
        <v>-4.7967591900000004</v>
      </c>
      <c r="K46" s="883">
        <v>-5.2420099500000008</v>
      </c>
      <c r="L46" s="692">
        <f>SUM(D46:INDEX(D46:K46,0,MATCH('RFPR cover'!$C$7,$D$6:$K$6,0)))</f>
        <v>-19.85052189</v>
      </c>
      <c r="M46" s="692">
        <f>SUM(D46:K46)</f>
        <v>-19.85052189</v>
      </c>
    </row>
    <row r="47" spans="2:14">
      <c r="B47" s="371" t="s">
        <v>526</v>
      </c>
      <c r="C47" s="153" t="s">
        <v>128</v>
      </c>
      <c r="D47" s="389"/>
      <c r="E47" s="390"/>
      <c r="F47" s="390"/>
      <c r="G47" s="683"/>
      <c r="H47" s="683"/>
      <c r="I47" s="683"/>
      <c r="J47" s="683">
        <v>0</v>
      </c>
      <c r="K47" s="683"/>
      <c r="L47" s="692">
        <f>SUM(D47:INDEX(D47:K47,0,MATCH('RFPR cover'!$C$7,$D$6:$K$6,0)))</f>
        <v>0</v>
      </c>
      <c r="M47" s="692">
        <f>SUM(D47:K47)</f>
        <v>0</v>
      </c>
    </row>
    <row r="48" spans="2:14">
      <c r="B48" s="371" t="s">
        <v>509</v>
      </c>
      <c r="C48" s="153" t="s">
        <v>128</v>
      </c>
      <c r="D48" s="883">
        <v>0</v>
      </c>
      <c r="E48" s="883">
        <v>0</v>
      </c>
      <c r="F48" s="883">
        <v>0</v>
      </c>
      <c r="G48" s="883">
        <v>0</v>
      </c>
      <c r="H48" s="883">
        <v>0</v>
      </c>
      <c r="I48" s="883">
        <v>0</v>
      </c>
      <c r="J48" s="883">
        <v>0</v>
      </c>
      <c r="K48" s="883">
        <v>0</v>
      </c>
      <c r="L48" s="692">
        <f>SUM(D48:INDEX(D48:K48,0,MATCH('RFPR cover'!$C$7,$D$6:$K$6,0)))</f>
        <v>0</v>
      </c>
      <c r="M48" s="692">
        <f t="shared" ref="M48:M55" si="5">SUM(D48:K48)</f>
        <v>0</v>
      </c>
    </row>
    <row r="49" spans="1:14">
      <c r="B49" s="371" t="s">
        <v>510</v>
      </c>
      <c r="C49" s="153" t="s">
        <v>128</v>
      </c>
      <c r="D49" s="883">
        <v>0</v>
      </c>
      <c r="E49" s="883">
        <v>0</v>
      </c>
      <c r="F49" s="883">
        <v>0</v>
      </c>
      <c r="G49" s="883">
        <v>0</v>
      </c>
      <c r="H49" s="883">
        <v>0</v>
      </c>
      <c r="I49" s="883">
        <v>0</v>
      </c>
      <c r="J49" s="883">
        <v>0</v>
      </c>
      <c r="K49" s="883">
        <v>0</v>
      </c>
      <c r="L49" s="692">
        <f>SUM(D49:INDEX(D49:K49,0,MATCH('RFPR cover'!$C$7,$D$6:$K$6,0)))</f>
        <v>0</v>
      </c>
      <c r="M49" s="692">
        <f t="shared" si="5"/>
        <v>0</v>
      </c>
    </row>
    <row r="50" spans="1:14">
      <c r="B50" s="371" t="s">
        <v>628</v>
      </c>
      <c r="C50" s="153" t="s">
        <v>128</v>
      </c>
      <c r="D50" s="883">
        <v>1</v>
      </c>
      <c r="E50" s="883">
        <v>0.8</v>
      </c>
      <c r="F50" s="883">
        <v>1</v>
      </c>
      <c r="G50" s="883">
        <v>1.124142</v>
      </c>
      <c r="H50" s="883">
        <v>1.084049</v>
      </c>
      <c r="I50" s="883">
        <v>0.88928499999999999</v>
      </c>
      <c r="J50" s="883">
        <v>1.01213975</v>
      </c>
      <c r="K50" s="883">
        <v>1.1669433300000001</v>
      </c>
      <c r="L50" s="692">
        <f>SUM(D50:INDEX(D50:K50,0,MATCH('RFPR cover'!$C$7,$D$6:$K$6,0)))</f>
        <v>8.0765590800000009</v>
      </c>
      <c r="M50" s="692">
        <f t="shared" si="5"/>
        <v>8.0765590800000009</v>
      </c>
    </row>
    <row r="51" spans="1:14">
      <c r="B51" s="371" t="s">
        <v>629</v>
      </c>
      <c r="C51" s="153" t="s">
        <v>128</v>
      </c>
      <c r="D51" s="883">
        <v>-0.7</v>
      </c>
      <c r="E51" s="883">
        <v>0</v>
      </c>
      <c r="F51" s="883">
        <v>0</v>
      </c>
      <c r="G51" s="883">
        <v>0</v>
      </c>
      <c r="H51" s="883">
        <v>0</v>
      </c>
      <c r="I51" s="883">
        <v>0</v>
      </c>
      <c r="J51" s="883">
        <v>0</v>
      </c>
      <c r="K51" s="883">
        <v>0</v>
      </c>
      <c r="L51" s="692">
        <f>SUM(D51:INDEX(D51:K51,0,MATCH('RFPR cover'!$C$7,$D$6:$K$6,0)))</f>
        <v>-0.7</v>
      </c>
      <c r="M51" s="692">
        <f t="shared" si="5"/>
        <v>-0.7</v>
      </c>
    </row>
    <row r="52" spans="1:14">
      <c r="B52" s="371" t="s">
        <v>630</v>
      </c>
      <c r="C52" s="153" t="s">
        <v>128</v>
      </c>
      <c r="D52" s="883">
        <v>-3.946890143906109</v>
      </c>
      <c r="E52" s="883">
        <v>-4.1787264498722854</v>
      </c>
      <c r="F52" s="883">
        <v>-4.4242157555076478</v>
      </c>
      <c r="G52" s="883">
        <v>0</v>
      </c>
      <c r="H52" s="883">
        <v>0</v>
      </c>
      <c r="I52" s="883">
        <v>0</v>
      </c>
      <c r="J52" s="883">
        <v>0</v>
      </c>
      <c r="K52" s="883">
        <v>0</v>
      </c>
      <c r="L52" s="692">
        <f>SUM(D52:INDEX(D52:K52,0,MATCH('RFPR cover'!$C$7,$D$6:$K$6,0)))</f>
        <v>-12.549832349286042</v>
      </c>
      <c r="M52" s="692">
        <f t="shared" si="5"/>
        <v>-12.549832349286042</v>
      </c>
    </row>
    <row r="53" spans="1:14">
      <c r="B53" s="371" t="s">
        <v>631</v>
      </c>
      <c r="C53" s="153" t="s">
        <v>128</v>
      </c>
      <c r="D53" s="883">
        <v>0</v>
      </c>
      <c r="E53" s="883">
        <v>0</v>
      </c>
      <c r="F53" s="883">
        <v>0</v>
      </c>
      <c r="G53" s="883">
        <v>0</v>
      </c>
      <c r="H53" s="883">
        <v>0</v>
      </c>
      <c r="I53" s="883">
        <v>0</v>
      </c>
      <c r="J53" s="883">
        <v>0</v>
      </c>
      <c r="K53" s="883">
        <v>0</v>
      </c>
      <c r="L53" s="692">
        <f>SUM(D53:INDEX(D53:K53,0,MATCH('RFPR cover'!$C$7,$D$6:$K$6,0)))</f>
        <v>0</v>
      </c>
      <c r="M53" s="692">
        <f t="shared" si="5"/>
        <v>0</v>
      </c>
    </row>
    <row r="54" spans="1:14" s="866" customFormat="1">
      <c r="B54" s="865"/>
      <c r="C54" s="867"/>
      <c r="D54" s="868"/>
      <c r="E54" s="868"/>
      <c r="F54" s="868"/>
      <c r="G54" s="868"/>
      <c r="H54" s="868"/>
      <c r="I54" s="868"/>
      <c r="J54" s="868"/>
      <c r="K54" s="868"/>
      <c r="L54" s="869"/>
      <c r="M54" s="869"/>
    </row>
    <row r="55" spans="1:14">
      <c r="B55" s="860" t="s">
        <v>507</v>
      </c>
      <c r="C55" s="236" t="s">
        <v>128</v>
      </c>
      <c r="D55" s="146">
        <f>SUM(D46:D53)</f>
        <v>-2.867182643906109</v>
      </c>
      <c r="E55" s="146">
        <f t="shared" ref="E55:K55" si="6">SUM(E46:E53)</f>
        <v>-2.7964133998722853</v>
      </c>
      <c r="F55" s="146">
        <f t="shared" si="6"/>
        <v>-2.6142225555076477</v>
      </c>
      <c r="G55" s="146">
        <f t="shared" si="6"/>
        <v>-2.7059838000000003</v>
      </c>
      <c r="H55" s="146">
        <f t="shared" si="6"/>
        <v>-2.9659509999999996</v>
      </c>
      <c r="I55" s="146">
        <f t="shared" si="6"/>
        <v>-3.2143557000000005</v>
      </c>
      <c r="J55" s="146">
        <f t="shared" si="6"/>
        <v>-3.7846194400000002</v>
      </c>
      <c r="K55" s="146">
        <f t="shared" si="6"/>
        <v>-4.0750666200000012</v>
      </c>
      <c r="L55" s="692">
        <f>SUM(D55:INDEX(D55:K55,0,MATCH('RFPR cover'!$C$7,$D$6:$K$6,0)))</f>
        <v>-25.023795159286045</v>
      </c>
      <c r="M55" s="693">
        <f t="shared" si="5"/>
        <v>-25.023795159286045</v>
      </c>
    </row>
    <row r="56" spans="1:14">
      <c r="B56" s="860" t="s">
        <v>507</v>
      </c>
      <c r="C56" s="157" t="str">
        <f>'RFPR cover'!$C$14</f>
        <v>£m 12/13</v>
      </c>
      <c r="D56" s="146">
        <f>D55/D41</f>
        <v>-2.7040812595071841</v>
      </c>
      <c r="E56" s="146">
        <f t="shared" ref="E56:K56" si="7">E55/E41</f>
        <v>-2.5820117158772766</v>
      </c>
      <c r="F56" s="146">
        <f t="shared" si="7"/>
        <v>-2.3267234993846442</v>
      </c>
      <c r="G56" s="146">
        <f t="shared" si="7"/>
        <v>-2.3369851407831765</v>
      </c>
      <c r="H56" s="146">
        <f t="shared" si="7"/>
        <v>-2.4968657693141387</v>
      </c>
      <c r="I56" s="146">
        <f t="shared" si="7"/>
        <v>-2.6735578120506385</v>
      </c>
      <c r="J56" s="146">
        <f t="shared" si="7"/>
        <v>-2.9759857097744558</v>
      </c>
      <c r="K56" s="146">
        <f t="shared" si="7"/>
        <v>-2.8388914125697227</v>
      </c>
      <c r="L56" s="692">
        <f>SUM(D56:INDEX(D56:K56,0,MATCH('RFPR cover'!$C$7,$D$6:$K$6,0)))</f>
        <v>-20.93510231926124</v>
      </c>
      <c r="M56" s="693">
        <f>SUM(D56:K56)</f>
        <v>-20.93510231926124</v>
      </c>
    </row>
    <row r="57" spans="1:14">
      <c r="B57" s="214"/>
      <c r="C57" s="66"/>
      <c r="D57" s="807"/>
      <c r="E57" s="807"/>
      <c r="F57" s="807"/>
      <c r="G57" s="807"/>
      <c r="H57" s="807"/>
      <c r="I57" s="807"/>
      <c r="J57" s="807"/>
      <c r="K57" s="807"/>
      <c r="L57" s="830"/>
      <c r="M57" s="830"/>
    </row>
    <row r="58" spans="1:14" s="2" customFormat="1">
      <c r="A58" s="1"/>
    </row>
    <row r="59" spans="1:14" s="2" customFormat="1">
      <c r="A59" s="1"/>
      <c r="B59" s="831" t="s">
        <v>426</v>
      </c>
      <c r="C59" s="81"/>
      <c r="D59" s="81"/>
      <c r="E59" s="81"/>
      <c r="F59" s="81"/>
      <c r="G59" s="81"/>
      <c r="H59" s="81"/>
      <c r="I59" s="81"/>
      <c r="J59" s="81"/>
      <c r="K59" s="81"/>
      <c r="L59" s="81"/>
      <c r="M59" s="81"/>
      <c r="N59" s="81"/>
    </row>
    <row r="60" spans="1:14" s="2" customFormat="1">
      <c r="A60" s="1"/>
      <c r="B60" s="370" t="s">
        <v>427</v>
      </c>
    </row>
    <row r="61" spans="1:14" s="2" customFormat="1">
      <c r="A61" s="1"/>
    </row>
    <row r="62" spans="1:14" s="31" customFormat="1">
      <c r="B62" s="214" t="s">
        <v>115</v>
      </c>
      <c r="C62" s="156" t="s">
        <v>7</v>
      </c>
      <c r="D62" s="892">
        <f>'RFPR cover'!$C$12</f>
        <v>0.65</v>
      </c>
      <c r="E62" s="893">
        <f>'RFPR cover'!$C$12</f>
        <v>0.65</v>
      </c>
      <c r="F62" s="893">
        <f>'RFPR cover'!$C$12</f>
        <v>0.65</v>
      </c>
      <c r="G62" s="893">
        <f>'RFPR cover'!$C$12</f>
        <v>0.65</v>
      </c>
      <c r="H62" s="893">
        <f>'RFPR cover'!$C$12</f>
        <v>0.65</v>
      </c>
      <c r="I62" s="893">
        <f>'RFPR cover'!$C$12</f>
        <v>0.65</v>
      </c>
      <c r="J62" s="893">
        <f>'RFPR cover'!$C$12</f>
        <v>0.65</v>
      </c>
      <c r="K62" s="894">
        <f>'RFPR cover'!$C$12</f>
        <v>0.65</v>
      </c>
      <c r="N62" s="825"/>
    </row>
    <row r="63" spans="1:14" s="31" customFormat="1">
      <c r="B63" s="214" t="s">
        <v>389</v>
      </c>
      <c r="C63" s="156" t="s">
        <v>7</v>
      </c>
      <c r="D63" s="893">
        <f>'R8 - Net Debt'!D64</f>
        <v>0.61202059896871619</v>
      </c>
      <c r="E63" s="893">
        <f>'R8 - Net Debt'!E64</f>
        <v>0.60989026974339233</v>
      </c>
      <c r="F63" s="893">
        <f>'R8 - Net Debt'!F64</f>
        <v>0.60772815759865062</v>
      </c>
      <c r="G63" s="893">
        <f>'R8 - Net Debt'!G64</f>
        <v>0.62306016053526603</v>
      </c>
      <c r="H63" s="893">
        <f>'R8 - Net Debt'!H64</f>
        <v>0.6181382525179302</v>
      </c>
      <c r="I63" s="893">
        <f>'R8 - Net Debt'!I64</f>
        <v>0.59831407692988081</v>
      </c>
      <c r="J63" s="893">
        <f>'R8 - Net Debt'!J64</f>
        <v>0.57309183360524829</v>
      </c>
      <c r="K63" s="894">
        <f>'R8 - Net Debt'!K64</f>
        <v>0.53860157936599629</v>
      </c>
      <c r="N63" s="825"/>
    </row>
    <row r="64" spans="1:14" s="31" customFormat="1">
      <c r="B64" s="214"/>
      <c r="C64" s="156"/>
      <c r="D64" s="156"/>
      <c r="E64" s="156"/>
      <c r="F64" s="156"/>
      <c r="G64" s="156"/>
      <c r="H64" s="156"/>
      <c r="I64" s="156"/>
      <c r="J64" s="156"/>
      <c r="K64" s="156"/>
      <c r="N64" s="825"/>
    </row>
    <row r="65" spans="2:15">
      <c r="B65" s="214" t="s">
        <v>416</v>
      </c>
      <c r="C65" s="153" t="s">
        <v>128</v>
      </c>
      <c r="D65" s="96">
        <f t="shared" ref="D65:K65" si="8">D39</f>
        <v>40.928093247505217</v>
      </c>
      <c r="E65" s="97">
        <f t="shared" si="8"/>
        <v>39.211255759921002</v>
      </c>
      <c r="F65" s="97">
        <f t="shared" si="8"/>
        <v>32.259247398352059</v>
      </c>
      <c r="G65" s="97">
        <f t="shared" si="8"/>
        <v>33.914287006967676</v>
      </c>
      <c r="H65" s="97">
        <f t="shared" si="8"/>
        <v>36.660351994908794</v>
      </c>
      <c r="I65" s="97">
        <f t="shared" si="8"/>
        <v>46.393729095896532</v>
      </c>
      <c r="J65" s="97">
        <f t="shared" si="8"/>
        <v>26.641180823324277</v>
      </c>
      <c r="K65" s="98">
        <f t="shared" si="8"/>
        <v>-27.863468453731258</v>
      </c>
      <c r="L65" s="31"/>
      <c r="M65" s="31"/>
    </row>
    <row r="66" spans="2:15" s="31" customFormat="1">
      <c r="B66" s="214" t="s">
        <v>434</v>
      </c>
      <c r="C66" s="153" t="s">
        <v>128</v>
      </c>
      <c r="D66" s="96">
        <f>((D62-D63)/D63)*D65</f>
        <v>2.5398237731083886</v>
      </c>
      <c r="E66" s="96">
        <f t="shared" ref="E66:K66" si="9">((E62-E63)/E63)*E65</f>
        <v>2.5787473084543757</v>
      </c>
      <c r="F66" s="96">
        <f t="shared" si="9"/>
        <v>2.2438615110373927</v>
      </c>
      <c r="G66" s="96">
        <f t="shared" si="9"/>
        <v>1.4663839953171096</v>
      </c>
      <c r="H66" s="96">
        <f t="shared" si="9"/>
        <v>1.8896466496088544</v>
      </c>
      <c r="I66" s="96">
        <f t="shared" si="9"/>
        <v>4.007765829764157</v>
      </c>
      <c r="J66" s="96">
        <f t="shared" si="9"/>
        <v>3.5752112446331128</v>
      </c>
      <c r="K66" s="96">
        <f t="shared" si="9"/>
        <v>-5.7629730361815774</v>
      </c>
      <c r="N66" s="825"/>
    </row>
    <row r="67" spans="2:15">
      <c r="B67" s="214" t="s">
        <v>433</v>
      </c>
      <c r="C67" s="153" t="s">
        <v>128</v>
      </c>
      <c r="D67" s="103">
        <f>SUM(D65:D66)</f>
        <v>43.467917020613605</v>
      </c>
      <c r="E67" s="104">
        <f t="shared" ref="E67:K67" si="10">SUM(E65:E66)</f>
        <v>41.790003068375377</v>
      </c>
      <c r="F67" s="104">
        <f t="shared" si="10"/>
        <v>34.503108909389454</v>
      </c>
      <c r="G67" s="104">
        <f t="shared" si="10"/>
        <v>35.380671002284785</v>
      </c>
      <c r="H67" s="104">
        <f t="shared" si="10"/>
        <v>38.54999864451765</v>
      </c>
      <c r="I67" s="104">
        <f t="shared" si="10"/>
        <v>50.401494925660685</v>
      </c>
      <c r="J67" s="104">
        <f t="shared" si="10"/>
        <v>30.21639206795739</v>
      </c>
      <c r="K67" s="105">
        <f t="shared" si="10"/>
        <v>-33.626441489912835</v>
      </c>
      <c r="L67" s="31"/>
      <c r="M67" s="31"/>
    </row>
    <row r="68" spans="2:15">
      <c r="B68" s="214"/>
      <c r="C68" s="153"/>
      <c r="D68" s="153"/>
      <c r="E68" s="153"/>
      <c r="F68" s="153"/>
      <c r="G68" s="153"/>
      <c r="H68" s="153"/>
      <c r="I68" s="153"/>
      <c r="J68" s="153"/>
      <c r="K68" s="153"/>
      <c r="L68" s="153"/>
      <c r="M68" s="153"/>
      <c r="N68" s="153"/>
      <c r="O68" s="153"/>
    </row>
    <row r="69" spans="2:15">
      <c r="B69" s="835" t="s">
        <v>433</v>
      </c>
      <c r="C69" s="157" t="str">
        <f>'RFPR cover'!$C$14</f>
        <v>£m 12/13</v>
      </c>
      <c r="D69" s="146">
        <f t="shared" ref="D69:K69" si="11">D67/D41</f>
        <v>40.995218792592439</v>
      </c>
      <c r="E69" s="147">
        <f t="shared" si="11"/>
        <v>38.5859535410682</v>
      </c>
      <c r="F69" s="147">
        <f t="shared" si="11"/>
        <v>30.708630423286571</v>
      </c>
      <c r="G69" s="147">
        <f t="shared" si="11"/>
        <v>30.556022694325719</v>
      </c>
      <c r="H69" s="147">
        <f t="shared" si="11"/>
        <v>32.453055368279038</v>
      </c>
      <c r="I69" s="147">
        <f t="shared" si="11"/>
        <v>41.921717157043545</v>
      </c>
      <c r="J69" s="147">
        <f t="shared" si="11"/>
        <v>23.760262404397363</v>
      </c>
      <c r="K69" s="148">
        <f t="shared" si="11"/>
        <v>-23.425829534289125</v>
      </c>
      <c r="L69" s="692">
        <f>SUM(D69:INDEX(D69:K69,0,MATCH('RFPR cover'!$C$7,$D$6:$K$6,0)))</f>
        <v>215.55503084670374</v>
      </c>
      <c r="M69" s="693">
        <f>SUM(D69:K69)</f>
        <v>215.55503084670374</v>
      </c>
    </row>
    <row r="70" spans="2:15">
      <c r="B70" s="373" t="s">
        <v>508</v>
      </c>
      <c r="C70" s="160" t="str">
        <f>'RFPR cover'!$C$14</f>
        <v>£m 12/13</v>
      </c>
      <c r="D70" s="96">
        <f>D56*((D62-D63)/D63)+D56</f>
        <v>-2.8718850666814131</v>
      </c>
      <c r="E70" s="96">
        <f t="shared" ref="E70:K70" si="12">E56*((E62-E63)/E63)+E56</f>
        <v>-2.7518189723314781</v>
      </c>
      <c r="F70" s="96">
        <f t="shared" si="12"/>
        <v>-2.4885637693272757</v>
      </c>
      <c r="G70" s="96">
        <f t="shared" si="12"/>
        <v>-2.4380315701842807</v>
      </c>
      <c r="H70" s="96">
        <f t="shared" si="12"/>
        <v>-2.6255659529938464</v>
      </c>
      <c r="I70" s="96">
        <f t="shared" si="12"/>
        <v>-2.9045156128535772</v>
      </c>
      <c r="J70" s="96">
        <f t="shared" si="12"/>
        <v>-3.3753590575255434</v>
      </c>
      <c r="K70" s="96">
        <f t="shared" si="12"/>
        <v>-3.426056455947367</v>
      </c>
      <c r="L70" s="688">
        <f>SUM(D70:INDEX(D70:K70,0,MATCH('RFPR cover'!$C$7,$D$6:$K$6,0)))</f>
        <v>-22.881796457844782</v>
      </c>
      <c r="M70" s="689">
        <f>SUM(D70:K70)</f>
        <v>-22.881796457844782</v>
      </c>
      <c r="N70" s="156"/>
    </row>
    <row r="72" spans="2:15">
      <c r="B72" s="827" t="s">
        <v>316</v>
      </c>
      <c r="C72" s="828"/>
      <c r="D72" s="828"/>
      <c r="E72" s="828"/>
      <c r="F72" s="828"/>
      <c r="G72" s="828"/>
      <c r="H72" s="828"/>
      <c r="I72" s="828"/>
      <c r="J72" s="828"/>
      <c r="K72" s="828"/>
      <c r="L72" s="828"/>
      <c r="M72" s="828"/>
      <c r="N72" s="828"/>
      <c r="O72" s="156"/>
    </row>
    <row r="73" spans="2:15" s="31" customFormat="1">
      <c r="B73" s="829"/>
      <c r="C73" s="66"/>
      <c r="D73" s="66"/>
      <c r="E73" s="66"/>
      <c r="F73" s="66"/>
      <c r="G73" s="66"/>
      <c r="H73" s="66"/>
      <c r="I73" s="66"/>
      <c r="J73" s="66"/>
      <c r="K73" s="66"/>
      <c r="L73" s="66"/>
      <c r="M73" s="66"/>
      <c r="N73" s="66"/>
      <c r="O73" s="66"/>
    </row>
    <row r="74" spans="2:15">
      <c r="B74" s="370" t="s">
        <v>463</v>
      </c>
      <c r="C74" s="369"/>
      <c r="D74" s="369"/>
      <c r="E74" s="369"/>
      <c r="F74" s="369"/>
      <c r="G74" s="369"/>
      <c r="H74" s="369"/>
      <c r="I74" s="369"/>
      <c r="J74" s="369"/>
      <c r="K74" s="369"/>
      <c r="L74" s="369"/>
      <c r="M74" s="369"/>
      <c r="N74" s="369"/>
      <c r="O74" s="156"/>
    </row>
    <row r="75" spans="2:15">
      <c r="B75" s="370" t="s">
        <v>345</v>
      </c>
      <c r="C75" s="369"/>
      <c r="D75" s="369"/>
      <c r="E75" s="369"/>
      <c r="F75" s="369"/>
      <c r="G75" s="369"/>
      <c r="H75" s="369"/>
      <c r="I75" s="369"/>
      <c r="J75" s="369"/>
      <c r="K75" s="369"/>
      <c r="L75" s="369"/>
      <c r="M75" s="369"/>
      <c r="N75" s="369"/>
      <c r="O75" s="156"/>
    </row>
    <row r="76" spans="2:15">
      <c r="B76" s="370" t="s">
        <v>346</v>
      </c>
      <c r="C76" s="369"/>
      <c r="D76" s="369"/>
      <c r="E76" s="369"/>
      <c r="F76" s="369"/>
      <c r="G76" s="369"/>
      <c r="H76" s="369"/>
      <c r="I76" s="369"/>
      <c r="J76" s="369"/>
      <c r="K76" s="369"/>
      <c r="L76" s="369"/>
      <c r="M76" s="369"/>
      <c r="N76" s="369"/>
      <c r="O76" s="156"/>
    </row>
    <row r="77" spans="2:15">
      <c r="B77" s="370" t="s">
        <v>513</v>
      </c>
      <c r="C77" s="369"/>
      <c r="D77" s="369"/>
      <c r="E77" s="369"/>
      <c r="F77" s="369"/>
      <c r="G77" s="369"/>
      <c r="H77" s="369"/>
      <c r="I77" s="369"/>
      <c r="J77" s="369"/>
      <c r="K77" s="369"/>
      <c r="L77" s="369"/>
      <c r="M77" s="369"/>
      <c r="N77" s="369"/>
      <c r="O77" s="156"/>
    </row>
    <row r="78" spans="2:15" s="31" customFormat="1">
      <c r="B78" s="374"/>
      <c r="C78" s="374"/>
      <c r="D78" s="374"/>
      <c r="E78" s="374"/>
      <c r="F78" s="374"/>
      <c r="G78" s="374"/>
      <c r="H78" s="374"/>
      <c r="I78" s="374"/>
      <c r="J78" s="374"/>
      <c r="K78" s="374"/>
      <c r="L78" s="374"/>
      <c r="M78" s="374"/>
      <c r="N78" s="374"/>
      <c r="O78" s="66"/>
    </row>
    <row r="79" spans="2:15">
      <c r="B79" s="373" t="s">
        <v>232</v>
      </c>
      <c r="C79" s="156" t="str">
        <f>'RFPR cover'!$C$14</f>
        <v>£m 12/13</v>
      </c>
      <c r="D79" s="599">
        <v>24.933173552603623</v>
      </c>
      <c r="E79" s="599">
        <v>23.73556031369284</v>
      </c>
      <c r="F79" s="599">
        <v>22.544597790483653</v>
      </c>
      <c r="G79" s="599">
        <v>20.808990740886877</v>
      </c>
      <c r="H79" s="599">
        <v>19.538915780436422</v>
      </c>
      <c r="I79" s="599">
        <v>18.124551190511241</v>
      </c>
      <c r="J79" s="901">
        <v>16.723705309591015</v>
      </c>
      <c r="K79" s="904">
        <v>15.119539389629136</v>
      </c>
      <c r="L79" s="902"/>
      <c r="M79" s="902"/>
      <c r="O79" s="66"/>
    </row>
    <row r="80" spans="2:15">
      <c r="B80" s="373" t="s">
        <v>315</v>
      </c>
      <c r="C80" s="156" t="str">
        <f>'RFPR cover'!$C$14</f>
        <v>£m 12/13</v>
      </c>
      <c r="D80" s="690">
        <f>'R9 - RAV'!D49</f>
        <v>24.940576638393434</v>
      </c>
      <c r="E80" s="691">
        <f>'R9 - RAV'!E49</f>
        <v>23.793664888945642</v>
      </c>
      <c r="F80" s="691">
        <f>'R9 - RAV'!F49</f>
        <v>22.636753454664014</v>
      </c>
      <c r="G80" s="691">
        <f>'R9 - RAV'!G49</f>
        <v>20.832648472903116</v>
      </c>
      <c r="H80" s="691">
        <f>'R9 - RAV'!H49</f>
        <v>19.508716810735756</v>
      </c>
      <c r="I80" s="691">
        <f>'R9 - RAV'!I49</f>
        <v>18.122070286130846</v>
      </c>
      <c r="J80" s="691">
        <f>'R9 - RAV'!J49</f>
        <v>16.767068345814295</v>
      </c>
      <c r="K80" s="903">
        <f>'R9 - RAV'!K49</f>
        <v>15.131977066024573</v>
      </c>
      <c r="L80" s="905">
        <f>SUM(D80:INDEX(D80:K80,0,MATCH('RFPR cover'!$C$7,$D$6:$K$6,0)))</f>
        <v>161.73347596361168</v>
      </c>
      <c r="M80" s="905">
        <f>SUM(D80:K80)</f>
        <v>161.73347596361168</v>
      </c>
      <c r="O80" s="66"/>
    </row>
    <row r="81" spans="2:15" s="31" customFormat="1">
      <c r="B81" s="832"/>
      <c r="C81" s="66"/>
      <c r="D81" s="833"/>
      <c r="E81" s="833"/>
      <c r="F81" s="833"/>
      <c r="G81" s="833"/>
      <c r="H81" s="833"/>
      <c r="I81" s="833"/>
      <c r="J81" s="833"/>
      <c r="K81" s="833"/>
      <c r="L81" s="830"/>
      <c r="M81" s="830"/>
      <c r="O81" s="66"/>
    </row>
    <row r="82" spans="2:15" s="31" customFormat="1">
      <c r="B82" s="832"/>
      <c r="C82" s="66"/>
      <c r="D82" s="833"/>
      <c r="E82" s="834"/>
      <c r="F82" s="834"/>
      <c r="G82" s="834"/>
      <c r="H82" s="834"/>
      <c r="I82" s="834"/>
      <c r="J82" s="834"/>
      <c r="K82" s="834"/>
      <c r="L82" s="830"/>
      <c r="M82" s="830"/>
      <c r="O82" s="66"/>
    </row>
    <row r="83" spans="2:15">
      <c r="B83" s="836" t="s">
        <v>417</v>
      </c>
      <c r="C83" s="828"/>
      <c r="D83" s="828"/>
      <c r="E83" s="828"/>
      <c r="F83" s="828"/>
      <c r="G83" s="828"/>
      <c r="H83" s="828"/>
      <c r="I83" s="828"/>
      <c r="J83" s="828"/>
      <c r="K83" s="828"/>
      <c r="L83" s="828"/>
      <c r="M83" s="828"/>
      <c r="N83" s="828"/>
    </row>
    <row r="84" spans="2:15">
      <c r="B84" s="373"/>
      <c r="C84" s="156"/>
      <c r="D84" s="156"/>
      <c r="E84" s="156"/>
      <c r="F84" s="156"/>
      <c r="G84" s="156"/>
      <c r="H84" s="156"/>
      <c r="I84" s="156"/>
      <c r="J84" s="156"/>
      <c r="K84" s="156"/>
      <c r="L84" s="156"/>
      <c r="M84" s="156"/>
      <c r="N84" s="156"/>
    </row>
    <row r="85" spans="2:15">
      <c r="B85" s="855" t="s">
        <v>471</v>
      </c>
      <c r="C85" s="156"/>
      <c r="D85" s="156"/>
      <c r="E85" s="156"/>
      <c r="F85" s="156"/>
      <c r="G85" s="156"/>
      <c r="H85" s="156"/>
      <c r="I85" s="156"/>
      <c r="J85" s="156"/>
      <c r="K85" s="156"/>
      <c r="L85" s="156"/>
      <c r="M85" s="156"/>
      <c r="N85" s="156"/>
    </row>
    <row r="86" spans="2:15">
      <c r="B86" s="214" t="s">
        <v>472</v>
      </c>
      <c r="C86" s="156" t="str">
        <f>'RFPR cover'!$C$14</f>
        <v>£m 12/13</v>
      </c>
      <c r="D86" s="146">
        <f>D80-D43-D56</f>
        <v>-10.955216502554759</v>
      </c>
      <c r="E86" s="146">
        <f t="shared" ref="E86:K86" si="13">E80-E43-E56</f>
        <v>-9.8292428005126045</v>
      </c>
      <c r="F86" s="146">
        <f t="shared" si="13"/>
        <v>-3.7480605682925985</v>
      </c>
      <c r="G86" s="146">
        <f t="shared" si="13"/>
        <v>-6.1199670097688044</v>
      </c>
      <c r="H86" s="146">
        <f t="shared" si="13"/>
        <v>-8.8566865495126219</v>
      </c>
      <c r="I86" s="146">
        <f t="shared" si="13"/>
        <v>-17.792608062021682</v>
      </c>
      <c r="J86" s="146">
        <f t="shared" si="13"/>
        <v>-1.2058880186849876</v>
      </c>
      <c r="K86" s="146">
        <f t="shared" si="13"/>
        <v>37.381928148020023</v>
      </c>
      <c r="L86" s="692">
        <f>SUM(D86:INDEX(D86:K86,0,MATCH('RFPR cover'!$C$7,$D$6:$K$6,0)))</f>
        <v>-21.125741363328032</v>
      </c>
      <c r="M86" s="693">
        <f>SUM(D86:K86)</f>
        <v>-21.125741363328032</v>
      </c>
    </row>
    <row r="87" spans="2:15">
      <c r="B87" s="214"/>
    </row>
    <row r="88" spans="2:15">
      <c r="B88" s="214" t="s">
        <v>473</v>
      </c>
      <c r="C88" s="156" t="str">
        <f>'RFPR cover'!$C$14</f>
        <v>£m 12/13</v>
      </c>
      <c r="D88" s="146">
        <f>D80-D69-D70</f>
        <v>-13.182757087517592</v>
      </c>
      <c r="E88" s="146">
        <f t="shared" ref="E88:K88" si="14">E80-E69-E70</f>
        <v>-12.04046967979108</v>
      </c>
      <c r="F88" s="146">
        <f t="shared" si="14"/>
        <v>-5.583313199295282</v>
      </c>
      <c r="G88" s="146">
        <f t="shared" si="14"/>
        <v>-7.2853426512383219</v>
      </c>
      <c r="H88" s="146">
        <f t="shared" si="14"/>
        <v>-10.318772604549437</v>
      </c>
      <c r="I88" s="146">
        <f t="shared" si="14"/>
        <v>-20.895131258059124</v>
      </c>
      <c r="J88" s="146">
        <f t="shared" si="14"/>
        <v>-3.6178350010575246</v>
      </c>
      <c r="K88" s="146">
        <f t="shared" si="14"/>
        <v>41.983863056261065</v>
      </c>
      <c r="L88" s="692">
        <f>SUM(D88:INDEX(D88:K88,0,MATCH('RFPR cover'!$C$7,$D$6:$K$6,0)))</f>
        <v>-30.939758425247312</v>
      </c>
      <c r="M88" s="693">
        <f>SUM(D88:K88)</f>
        <v>-30.939758425247312</v>
      </c>
    </row>
    <row r="89" spans="2:15">
      <c r="B89" s="214"/>
    </row>
    <row r="90" spans="2:15">
      <c r="B90" s="214" t="s">
        <v>474</v>
      </c>
      <c r="C90" s="156" t="str">
        <f>'RFPR cover'!$C$14</f>
        <v>£m 12/13</v>
      </c>
      <c r="D90" s="146">
        <f t="shared" ref="D90:K90" si="15">D86-D88</f>
        <v>2.2275405849628331</v>
      </c>
      <c r="E90" s="146">
        <f t="shared" si="15"/>
        <v>2.2112268792784757</v>
      </c>
      <c r="F90" s="146">
        <f t="shared" si="15"/>
        <v>1.8352526310026835</v>
      </c>
      <c r="G90" s="146">
        <f t="shared" si="15"/>
        <v>1.1653756414695176</v>
      </c>
      <c r="H90" s="146">
        <f t="shared" si="15"/>
        <v>1.4620860550368153</v>
      </c>
      <c r="I90" s="146">
        <f t="shared" si="15"/>
        <v>3.102523196037442</v>
      </c>
      <c r="J90" s="146">
        <f t="shared" si="15"/>
        <v>2.411946982372537</v>
      </c>
      <c r="K90" s="146">
        <f t="shared" si="15"/>
        <v>-4.6019349082410415</v>
      </c>
      <c r="L90" s="692">
        <f>SUM(D90:INDEX(D90:K90,0,MATCH('RFPR cover'!$C$7,$D$6:$K$6,0)))</f>
        <v>9.8140170619192624</v>
      </c>
      <c r="M90" s="693">
        <f>SUM(D90:K90)</f>
        <v>9.8140170619192624</v>
      </c>
    </row>
    <row r="91" spans="2:15">
      <c r="B91" s="201"/>
    </row>
  </sheetData>
  <conditionalFormatting sqref="D6:K6">
    <cfRule type="expression" dxfId="41" priority="22">
      <formula>AND(D$5="Actuals",E$5="Forecast")</formula>
    </cfRule>
  </conditionalFormatting>
  <conditionalFormatting sqref="D5:K5">
    <cfRule type="expression" dxfId="40" priority="15">
      <formula>AND(D$5="Actuals",E$5="Forecast")</formula>
    </cfRule>
  </conditionalFormatting>
  <conditionalFormatting sqref="D29:G29 I29:K29">
    <cfRule type="expression" dxfId="39" priority="13">
      <formula>D$5="Forecast"</formula>
    </cfRule>
    <cfRule type="expression" dxfId="38" priority="14">
      <formula>D$5="Actuals"</formula>
    </cfRule>
  </conditionalFormatting>
  <conditionalFormatting sqref="D47:G47">
    <cfRule type="expression" dxfId="37" priority="7">
      <formula>D$5="Forecast"</formula>
    </cfRule>
    <cfRule type="expression" dxfId="36" priority="8">
      <formula>D$5="Actuals"</formula>
    </cfRule>
  </conditionalFormatting>
  <conditionalFormatting sqref="I47:K47">
    <cfRule type="expression" dxfId="35" priority="5">
      <formula>I$5="Forecast"</formula>
    </cfRule>
    <cfRule type="expression" dxfId="34" priority="6">
      <formula>I$5="Actuals"</formula>
    </cfRule>
  </conditionalFormatting>
  <conditionalFormatting sqref="H47">
    <cfRule type="expression" dxfId="33" priority="3">
      <formula>H$5="Forecast"</formula>
    </cfRule>
    <cfRule type="expression" dxfId="32" priority="4">
      <formula>H$5="Actuals"</formula>
    </cfRule>
  </conditionalFormatting>
  <conditionalFormatting sqref="H29">
    <cfRule type="expression" dxfId="31" priority="1">
      <formula>H$5="Forecast"</formula>
    </cfRule>
    <cfRule type="expression" dxfId="30" priority="2">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zoomScale="80" zoomScaleNormal="80" workbookViewId="0">
      <pane ySplit="6" topLeftCell="A7" activePane="bottomLeft" state="frozen"/>
      <selection activeCell="B3" sqref="B3"/>
      <selection pane="bottomLeft" activeCell="C47" sqref="C47"/>
    </sheetView>
  </sheetViews>
  <sheetFormatPr defaultRowHeight="12.75"/>
  <cols>
    <col min="1" max="1" width="8.375" customWidth="1"/>
    <col min="2" max="2" width="85.75" bestFit="1" customWidth="1"/>
    <col min="3" max="3" width="14.125" customWidth="1"/>
    <col min="4" max="11" width="11.125" customWidth="1"/>
    <col min="12" max="12" width="5" customWidth="1"/>
    <col min="13" max="13" width="12.875" customWidth="1"/>
  </cols>
  <sheetData>
    <row r="1" spans="1:12" s="31" customFormat="1" ht="20.25">
      <c r="A1" s="911" t="s">
        <v>236</v>
      </c>
      <c r="B1" s="921"/>
      <c r="C1" s="257"/>
      <c r="D1" s="257"/>
      <c r="E1" s="257"/>
      <c r="F1" s="257"/>
      <c r="G1" s="257"/>
      <c r="H1" s="257"/>
      <c r="I1" s="258"/>
      <c r="J1" s="258"/>
      <c r="K1" s="259"/>
      <c r="L1" s="365"/>
    </row>
    <row r="2" spans="1:12" s="31" customFormat="1" ht="20.25">
      <c r="A2" s="914" t="str">
        <f>'RFPR cover'!C5</f>
        <v>ENWL</v>
      </c>
      <c r="B2" s="906"/>
      <c r="C2" s="29"/>
      <c r="D2" s="29"/>
      <c r="E2" s="29"/>
      <c r="F2" s="29"/>
      <c r="G2" s="29"/>
      <c r="H2" s="29"/>
      <c r="I2" s="27"/>
      <c r="J2" s="27"/>
      <c r="K2" s="27"/>
      <c r="L2" s="124"/>
    </row>
    <row r="3" spans="1:12" s="31" customFormat="1" ht="23.25">
      <c r="A3" s="917">
        <f>'RFPR cover'!C7</f>
        <v>2023</v>
      </c>
      <c r="B3" s="923" t="str">
        <f>'R1 - RoRE'!B3</f>
        <v/>
      </c>
      <c r="C3" s="261"/>
      <c r="D3" s="261"/>
      <c r="E3" s="261"/>
      <c r="F3" s="261"/>
      <c r="G3" s="261"/>
      <c r="H3" s="261"/>
      <c r="I3" s="256"/>
      <c r="J3" s="256"/>
      <c r="K3" s="256"/>
      <c r="L3" s="262"/>
    </row>
    <row r="4" spans="1:12" s="31" customFormat="1" ht="12.75" customHeight="1">
      <c r="A4" s="39"/>
      <c r="B4" s="39"/>
      <c r="C4" s="39"/>
      <c r="D4" s="39"/>
      <c r="E4" s="39"/>
      <c r="F4" s="39"/>
      <c r="G4" s="39"/>
      <c r="H4" s="39"/>
      <c r="I4" s="34"/>
      <c r="J4" s="34"/>
      <c r="K4" s="34"/>
      <c r="L4" s="33"/>
    </row>
    <row r="5" spans="1:12" s="2" customForma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Actuals</v>
      </c>
    </row>
    <row r="6" spans="1:12"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row r="8" spans="1:12" s="2" customFormat="1">
      <c r="B8" s="214" t="s">
        <v>504</v>
      </c>
      <c r="C8" s="153" t="s">
        <v>128</v>
      </c>
      <c r="D8" s="885">
        <v>-149.19227706000001</v>
      </c>
      <c r="E8" s="700">
        <f>D10</f>
        <v>-142.82834713999998</v>
      </c>
      <c r="F8" s="700">
        <f t="shared" ref="F8:K8" si="1">E10</f>
        <v>-152.69999999999999</v>
      </c>
      <c r="G8" s="700">
        <f t="shared" si="1"/>
        <v>-76.400000000000006</v>
      </c>
      <c r="H8" s="700">
        <f t="shared" si="1"/>
        <v>-22.674554929999999</v>
      </c>
      <c r="I8" s="700">
        <f t="shared" si="1"/>
        <v>-56.205494439999995</v>
      </c>
      <c r="J8" s="700">
        <f t="shared" si="1"/>
        <v>-322.37841830000002</v>
      </c>
      <c r="K8" s="700">
        <f t="shared" si="1"/>
        <v>-59.362294679999998</v>
      </c>
    </row>
    <row r="9" spans="1:12" s="2" customFormat="1">
      <c r="B9" s="214"/>
    </row>
    <row r="10" spans="1:12">
      <c r="B10" s="214" t="s">
        <v>505</v>
      </c>
      <c r="C10" s="153" t="s">
        <v>128</v>
      </c>
      <c r="D10" s="694">
        <v>-142.82834713999998</v>
      </c>
      <c r="E10" s="695">
        <v>-152.69999999999999</v>
      </c>
      <c r="F10" s="695">
        <v>-76.400000000000006</v>
      </c>
      <c r="G10" s="695">
        <v>-22.674554929999999</v>
      </c>
      <c r="H10" s="695">
        <v>-56.205494439999995</v>
      </c>
      <c r="I10" s="695">
        <v>-322.37841830000002</v>
      </c>
      <c r="J10" s="695">
        <v>-59.362294679999998</v>
      </c>
      <c r="K10" s="696">
        <v>-479.48589592000002</v>
      </c>
    </row>
    <row r="11" spans="1:12">
      <c r="B11" s="214" t="s">
        <v>354</v>
      </c>
      <c r="C11" s="153" t="s">
        <v>128</v>
      </c>
      <c r="D11" s="697">
        <v>964.90000000000009</v>
      </c>
      <c r="E11" s="698">
        <v>980.20000000000016</v>
      </c>
      <c r="F11" s="698">
        <v>965.40000000000009</v>
      </c>
      <c r="G11" s="698">
        <v>894.57285724000008</v>
      </c>
      <c r="H11" s="698">
        <v>928.83784560999993</v>
      </c>
      <c r="I11" s="698">
        <v>891.72368630999995</v>
      </c>
      <c r="J11" s="698">
        <v>903.27021033999995</v>
      </c>
      <c r="K11" s="699">
        <v>945.07239001000016</v>
      </c>
    </row>
    <row r="12" spans="1:12">
      <c r="B12" s="214" t="s">
        <v>355</v>
      </c>
      <c r="C12" s="153" t="s">
        <v>128</v>
      </c>
      <c r="D12" s="697">
        <v>268.07499999999999</v>
      </c>
      <c r="E12" s="698">
        <v>268.92499999999995</v>
      </c>
      <c r="F12" s="698">
        <v>271.92499999999995</v>
      </c>
      <c r="G12" s="698">
        <v>274.05037105999997</v>
      </c>
      <c r="H12" s="698">
        <v>276.71330440999998</v>
      </c>
      <c r="I12" s="698">
        <v>580.53012195999997</v>
      </c>
      <c r="J12" s="698">
        <v>382.86439726000003</v>
      </c>
      <c r="K12" s="699">
        <v>818.06881374</v>
      </c>
    </row>
    <row r="13" spans="1:12">
      <c r="B13" s="214" t="s">
        <v>356</v>
      </c>
      <c r="C13" s="153" t="s">
        <v>128</v>
      </c>
      <c r="D13" s="697">
        <v>0</v>
      </c>
      <c r="E13" s="698">
        <v>0</v>
      </c>
      <c r="F13" s="698">
        <v>0</v>
      </c>
      <c r="G13" s="698">
        <v>0</v>
      </c>
      <c r="H13" s="698">
        <v>0</v>
      </c>
      <c r="I13" s="698">
        <v>0</v>
      </c>
      <c r="J13" s="698">
        <v>0</v>
      </c>
      <c r="K13" s="699">
        <v>0</v>
      </c>
    </row>
    <row r="14" spans="1:12">
      <c r="B14" s="214" t="s">
        <v>357</v>
      </c>
      <c r="C14" s="153" t="s">
        <v>128</v>
      </c>
      <c r="D14" s="697">
        <v>13.9</v>
      </c>
      <c r="E14" s="698">
        <v>13.6</v>
      </c>
      <c r="F14" s="698">
        <v>13.5</v>
      </c>
      <c r="G14" s="698">
        <v>14.600000000000001</v>
      </c>
      <c r="H14" s="698">
        <v>13.50761504128543</v>
      </c>
      <c r="I14" s="698">
        <v>16.34973441</v>
      </c>
      <c r="J14" s="698">
        <v>15.889372759999999</v>
      </c>
      <c r="K14" s="699">
        <v>18.474696380000001</v>
      </c>
    </row>
    <row r="15" spans="1:12">
      <c r="B15" s="214" t="s">
        <v>291</v>
      </c>
      <c r="C15" s="153" t="s">
        <v>128</v>
      </c>
      <c r="D15" s="697">
        <v>0</v>
      </c>
      <c r="E15" s="698">
        <v>0</v>
      </c>
      <c r="F15" s="698">
        <v>0</v>
      </c>
      <c r="G15" s="698">
        <v>0</v>
      </c>
      <c r="H15" s="698">
        <v>0</v>
      </c>
      <c r="I15" s="698">
        <v>0</v>
      </c>
      <c r="J15" s="698">
        <v>0</v>
      </c>
      <c r="K15" s="699">
        <v>0</v>
      </c>
    </row>
    <row r="16" spans="1:12">
      <c r="B16" s="214" t="s">
        <v>292</v>
      </c>
      <c r="C16" s="153" t="s">
        <v>128</v>
      </c>
      <c r="D16" s="697">
        <v>0</v>
      </c>
      <c r="E16" s="698">
        <v>0</v>
      </c>
      <c r="F16" s="698">
        <v>0</v>
      </c>
      <c r="G16" s="698">
        <v>0</v>
      </c>
      <c r="H16" s="698">
        <v>0</v>
      </c>
      <c r="I16" s="698">
        <v>0</v>
      </c>
      <c r="J16" s="698">
        <v>0</v>
      </c>
      <c r="K16" s="699">
        <v>0</v>
      </c>
    </row>
    <row r="17" spans="2:13">
      <c r="B17" s="214" t="s">
        <v>296</v>
      </c>
      <c r="C17" s="153" t="s">
        <v>128</v>
      </c>
      <c r="D17" s="697">
        <v>0</v>
      </c>
      <c r="E17" s="698">
        <v>0</v>
      </c>
      <c r="F17" s="698">
        <v>0</v>
      </c>
      <c r="G17" s="698">
        <v>0</v>
      </c>
      <c r="H17" s="698">
        <v>0</v>
      </c>
      <c r="I17" s="698">
        <v>0</v>
      </c>
      <c r="J17" s="698">
        <v>0</v>
      </c>
      <c r="K17" s="699">
        <v>0</v>
      </c>
    </row>
    <row r="18" spans="2:13">
      <c r="B18" s="214" t="s">
        <v>297</v>
      </c>
      <c r="C18" s="153" t="s">
        <v>128</v>
      </c>
      <c r="D18" s="697">
        <v>267.61171153553653</v>
      </c>
      <c r="E18" s="698">
        <v>363.53868162918388</v>
      </c>
      <c r="F18" s="698">
        <v>357.28788632471884</v>
      </c>
      <c r="G18" s="698">
        <v>404.59503797953914</v>
      </c>
      <c r="H18" s="698">
        <v>416.94480790670582</v>
      </c>
      <c r="I18" s="698">
        <v>474.89159169052613</v>
      </c>
      <c r="J18" s="698">
        <v>535.49550848778313</v>
      </c>
      <c r="K18" s="699">
        <v>426.09834364346506</v>
      </c>
    </row>
    <row r="19" spans="2:13">
      <c r="B19" s="214" t="s">
        <v>298</v>
      </c>
      <c r="C19" s="153" t="s">
        <v>128</v>
      </c>
      <c r="D19" s="697">
        <v>0</v>
      </c>
      <c r="E19" s="698">
        <v>0</v>
      </c>
      <c r="F19" s="698">
        <v>0</v>
      </c>
      <c r="G19" s="698">
        <v>0</v>
      </c>
      <c r="H19" s="698">
        <v>0</v>
      </c>
      <c r="I19" s="698">
        <v>0</v>
      </c>
      <c r="J19" s="698">
        <v>0</v>
      </c>
      <c r="K19" s="699">
        <v>0</v>
      </c>
    </row>
    <row r="20" spans="2:13">
      <c r="B20" s="214" t="s">
        <v>299</v>
      </c>
      <c r="C20" s="153" t="s">
        <v>128</v>
      </c>
      <c r="D20" s="697">
        <v>0</v>
      </c>
      <c r="E20" s="698">
        <v>0</v>
      </c>
      <c r="F20" s="698">
        <v>0</v>
      </c>
      <c r="G20" s="698">
        <v>0</v>
      </c>
      <c r="H20" s="698">
        <v>0</v>
      </c>
      <c r="I20" s="698">
        <v>0</v>
      </c>
      <c r="J20" s="698">
        <v>0</v>
      </c>
      <c r="K20" s="699">
        <v>0</v>
      </c>
    </row>
    <row r="21" spans="2:13">
      <c r="B21" s="214" t="s">
        <v>300</v>
      </c>
      <c r="C21" s="153" t="s">
        <v>128</v>
      </c>
      <c r="D21" s="697">
        <v>0</v>
      </c>
      <c r="E21" s="698">
        <v>0</v>
      </c>
      <c r="F21" s="698">
        <v>0</v>
      </c>
      <c r="G21" s="698">
        <v>0</v>
      </c>
      <c r="H21" s="698">
        <v>0</v>
      </c>
      <c r="I21" s="698">
        <v>0</v>
      </c>
      <c r="J21" s="698">
        <v>0</v>
      </c>
      <c r="K21" s="699">
        <v>0</v>
      </c>
    </row>
    <row r="22" spans="2:13">
      <c r="B22" s="214" t="s">
        <v>301</v>
      </c>
      <c r="C22" s="153" t="s">
        <v>128</v>
      </c>
      <c r="D22" s="697">
        <v>0</v>
      </c>
      <c r="E22" s="698">
        <v>0</v>
      </c>
      <c r="F22" s="698">
        <v>0</v>
      </c>
      <c r="G22" s="698">
        <v>0</v>
      </c>
      <c r="H22" s="698">
        <v>0</v>
      </c>
      <c r="I22" s="698">
        <v>0</v>
      </c>
      <c r="J22" s="698">
        <v>0</v>
      </c>
      <c r="K22" s="699">
        <v>0</v>
      </c>
    </row>
    <row r="23" spans="2:13">
      <c r="B23" s="14" t="s">
        <v>317</v>
      </c>
      <c r="C23" s="236" t="s">
        <v>128</v>
      </c>
      <c r="D23" s="700">
        <f>SUM(D10:D22)</f>
        <v>1371.6583643955369</v>
      </c>
      <c r="E23" s="700">
        <f t="shared" ref="E23:K23" si="2">SUM(E10:E22)</f>
        <v>1473.563681629184</v>
      </c>
      <c r="F23" s="700">
        <f t="shared" si="2"/>
        <v>1531.712886324719</v>
      </c>
      <c r="G23" s="700">
        <f t="shared" si="2"/>
        <v>1565.143711349539</v>
      </c>
      <c r="H23" s="700">
        <f t="shared" si="2"/>
        <v>1579.798078527991</v>
      </c>
      <c r="I23" s="700">
        <f t="shared" si="2"/>
        <v>1641.1167160705263</v>
      </c>
      <c r="J23" s="700">
        <f t="shared" si="2"/>
        <v>1778.157194167783</v>
      </c>
      <c r="K23" s="701">
        <f t="shared" si="2"/>
        <v>1728.2283478534653</v>
      </c>
      <c r="L23" s="2"/>
      <c r="M23" s="324"/>
    </row>
    <row r="24" spans="2:13">
      <c r="B24" s="14"/>
      <c r="C24" s="153"/>
      <c r="D24" s="240"/>
      <c r="E24" s="240"/>
      <c r="F24" s="240"/>
      <c r="G24" s="240"/>
      <c r="H24" s="240"/>
      <c r="I24" s="240"/>
      <c r="J24" s="240"/>
      <c r="K24" s="240"/>
      <c r="L24" s="2"/>
      <c r="M24" s="2"/>
    </row>
    <row r="25" spans="2:13">
      <c r="B25" s="14" t="s">
        <v>123</v>
      </c>
      <c r="C25" s="16"/>
      <c r="D25" s="241"/>
      <c r="E25" s="241"/>
      <c r="F25" s="241"/>
      <c r="G25" s="241"/>
      <c r="H25" s="241"/>
      <c r="I25" s="241"/>
      <c r="J25" s="241"/>
      <c r="K25" s="241"/>
      <c r="L25" s="2"/>
      <c r="M25" s="2"/>
    </row>
    <row r="26" spans="2:13">
      <c r="B26" s="371" t="s">
        <v>515</v>
      </c>
      <c r="C26" s="153" t="s">
        <v>128</v>
      </c>
      <c r="D26" s="348">
        <v>6.6240000000000059</v>
      </c>
      <c r="E26" s="348">
        <v>5.9280000000000168</v>
      </c>
      <c r="F26" s="348">
        <v>5.1180000000000003</v>
      </c>
      <c r="G26" s="348">
        <v>-37.207528169999946</v>
      </c>
      <c r="H26" s="348">
        <v>-33.995664999999917</v>
      </c>
      <c r="I26" s="348">
        <v>-27.531379049999941</v>
      </c>
      <c r="J26" s="348">
        <v>-22.473252740000021</v>
      </c>
      <c r="K26" s="348">
        <v>-14.901514449999922</v>
      </c>
      <c r="L26" s="2"/>
      <c r="M26" s="2"/>
    </row>
    <row r="27" spans="2:13">
      <c r="B27" s="371" t="s">
        <v>8</v>
      </c>
      <c r="C27" s="153" t="s">
        <v>128</v>
      </c>
      <c r="D27" s="348">
        <v>0</v>
      </c>
      <c r="E27" s="381">
        <v>0</v>
      </c>
      <c r="F27" s="381">
        <v>0</v>
      </c>
      <c r="G27" s="381">
        <v>0</v>
      </c>
      <c r="H27" s="381">
        <v>0</v>
      </c>
      <c r="I27" s="381">
        <v>0</v>
      </c>
      <c r="J27" s="381">
        <v>0</v>
      </c>
      <c r="K27" s="385">
        <v>0</v>
      </c>
      <c r="L27" s="35"/>
      <c r="M27" s="35"/>
    </row>
    <row r="28" spans="2:13">
      <c r="B28" s="371" t="s">
        <v>9</v>
      </c>
      <c r="C28" s="153" t="s">
        <v>128</v>
      </c>
      <c r="D28" s="348">
        <v>0</v>
      </c>
      <c r="E28" s="381">
        <v>0</v>
      </c>
      <c r="F28" s="381">
        <v>0</v>
      </c>
      <c r="G28" s="381">
        <v>0</v>
      </c>
      <c r="H28" s="381">
        <v>0</v>
      </c>
      <c r="I28" s="381">
        <v>0</v>
      </c>
      <c r="J28" s="381">
        <v>0</v>
      </c>
      <c r="K28" s="385">
        <v>0</v>
      </c>
      <c r="L28" s="35"/>
      <c r="M28" s="35"/>
    </row>
    <row r="29" spans="2:13">
      <c r="B29" s="371" t="s">
        <v>10</v>
      </c>
      <c r="C29" s="153" t="s">
        <v>128</v>
      </c>
      <c r="D29" s="348">
        <v>0</v>
      </c>
      <c r="E29" s="381">
        <v>0</v>
      </c>
      <c r="F29" s="381">
        <v>0</v>
      </c>
      <c r="G29" s="381">
        <v>0</v>
      </c>
      <c r="H29" s="381">
        <v>0</v>
      </c>
      <c r="I29" s="381">
        <v>0</v>
      </c>
      <c r="J29" s="381">
        <v>0</v>
      </c>
      <c r="K29" s="385">
        <v>0</v>
      </c>
      <c r="L29" s="35"/>
      <c r="M29" s="35"/>
    </row>
    <row r="30" spans="2:13">
      <c r="B30" s="371" t="s">
        <v>632</v>
      </c>
      <c r="C30" s="153" t="s">
        <v>128</v>
      </c>
      <c r="D30" s="348">
        <v>-130.70000000000005</v>
      </c>
      <c r="E30" s="381">
        <v>-141</v>
      </c>
      <c r="F30" s="381">
        <v>-117.19999999999999</v>
      </c>
      <c r="G30" s="381">
        <v>0</v>
      </c>
      <c r="H30" s="381">
        <v>0</v>
      </c>
      <c r="I30" s="381">
        <v>0</v>
      </c>
      <c r="J30" s="381">
        <v>0</v>
      </c>
      <c r="K30" s="385">
        <v>0</v>
      </c>
    </row>
    <row r="31" spans="2:13">
      <c r="B31" s="371" t="s">
        <v>633</v>
      </c>
      <c r="C31" s="153" t="s">
        <v>128</v>
      </c>
      <c r="D31" s="348">
        <v>-267.61171153553653</v>
      </c>
      <c r="E31" s="381">
        <v>-363.53868162918388</v>
      </c>
      <c r="F31" s="381">
        <v>-357.28788632471884</v>
      </c>
      <c r="G31" s="381">
        <v>-404.59503797953914</v>
      </c>
      <c r="H31" s="381">
        <v>-416.94480790670582</v>
      </c>
      <c r="I31" s="381">
        <v>-474.89159169052613</v>
      </c>
      <c r="J31" s="381">
        <v>-535.49550848778313</v>
      </c>
      <c r="K31" s="385">
        <v>-426.09834364346506</v>
      </c>
    </row>
    <row r="32" spans="2:13" ht="12.75" customHeight="1">
      <c r="B32" s="371" t="s">
        <v>634</v>
      </c>
      <c r="C32" s="153" t="s">
        <v>128</v>
      </c>
      <c r="D32" s="348">
        <v>10.38364165</v>
      </c>
      <c r="E32" s="381">
        <v>8.4342360000000003</v>
      </c>
      <c r="F32" s="381">
        <v>6.1035687999999997</v>
      </c>
      <c r="G32" s="381">
        <v>4.72379456</v>
      </c>
      <c r="H32" s="381">
        <v>1.7071864299999999</v>
      </c>
      <c r="I32" s="381">
        <v>1.7097070700000001</v>
      </c>
      <c r="J32" s="381">
        <v>1.7621221599999999</v>
      </c>
      <c r="K32" s="385">
        <v>12.619122279999999</v>
      </c>
    </row>
    <row r="33" spans="2:12">
      <c r="B33" s="371" t="s">
        <v>635</v>
      </c>
      <c r="C33" s="153" t="s">
        <v>128</v>
      </c>
      <c r="D33" s="348">
        <v>-13.9</v>
      </c>
      <c r="E33" s="381">
        <v>-13.6</v>
      </c>
      <c r="F33" s="381">
        <v>-13.5</v>
      </c>
      <c r="G33" s="381">
        <v>-14.600000000000001</v>
      </c>
      <c r="H33" s="381">
        <v>-13.50761504128543</v>
      </c>
      <c r="I33" s="381">
        <v>-16.34973441</v>
      </c>
      <c r="J33" s="381">
        <v>-15.889372759999999</v>
      </c>
      <c r="K33" s="385">
        <v>-18.474696380000001</v>
      </c>
    </row>
    <row r="34" spans="2:12">
      <c r="B34" s="371" t="s">
        <v>636</v>
      </c>
      <c r="C34" s="153" t="s">
        <v>128</v>
      </c>
      <c r="D34" s="348">
        <v>-6.6240000000000059</v>
      </c>
      <c r="E34" s="381">
        <v>-5.9280000000000168</v>
      </c>
      <c r="F34" s="381">
        <v>-5.1180000000000003</v>
      </c>
      <c r="G34" s="381">
        <v>37.207528169999946</v>
      </c>
      <c r="H34" s="381">
        <v>33.995664999999917</v>
      </c>
      <c r="I34" s="381">
        <v>27.531379049999941</v>
      </c>
      <c r="J34" s="381">
        <v>22.473252740000021</v>
      </c>
      <c r="K34" s="385">
        <v>14.901514449999922</v>
      </c>
    </row>
    <row r="35" spans="2:12">
      <c r="B35" s="371" t="s">
        <v>637</v>
      </c>
      <c r="C35" s="153" t="s">
        <v>128</v>
      </c>
      <c r="D35" s="348">
        <v>54.762097314674783</v>
      </c>
      <c r="E35" s="381">
        <v>50.583370864802497</v>
      </c>
      <c r="F35" s="381">
        <v>46.159155109294844</v>
      </c>
      <c r="G35" s="381">
        <v>0</v>
      </c>
      <c r="H35" s="381">
        <v>0</v>
      </c>
      <c r="I35" s="381">
        <v>0</v>
      </c>
      <c r="J35" s="381">
        <v>0</v>
      </c>
      <c r="K35" s="385">
        <v>0</v>
      </c>
    </row>
    <row r="36" spans="2:12">
      <c r="B36" s="371" t="s">
        <v>638</v>
      </c>
      <c r="C36" s="153" t="s">
        <v>128</v>
      </c>
      <c r="D36" s="348">
        <v>0</v>
      </c>
      <c r="E36" s="381">
        <v>0</v>
      </c>
      <c r="F36" s="381">
        <v>0</v>
      </c>
      <c r="G36" s="381">
        <v>0</v>
      </c>
      <c r="H36" s="381">
        <v>0</v>
      </c>
      <c r="I36" s="381">
        <v>0</v>
      </c>
      <c r="J36" s="381">
        <v>0</v>
      </c>
      <c r="K36" s="385">
        <v>0</v>
      </c>
    </row>
    <row r="37" spans="2:12">
      <c r="B37" s="371" t="s">
        <v>639</v>
      </c>
      <c r="C37" s="153" t="s">
        <v>128</v>
      </c>
      <c r="D37" s="348">
        <v>0</v>
      </c>
      <c r="E37" s="381">
        <v>0</v>
      </c>
      <c r="F37" s="381">
        <v>0</v>
      </c>
      <c r="G37" s="381">
        <v>0</v>
      </c>
      <c r="H37" s="381">
        <v>0</v>
      </c>
      <c r="I37" s="381">
        <v>0</v>
      </c>
      <c r="J37" s="381">
        <v>0</v>
      </c>
      <c r="K37" s="385">
        <v>0</v>
      </c>
    </row>
    <row r="38" spans="2:12">
      <c r="B38" s="371" t="s">
        <v>640</v>
      </c>
      <c r="C38" s="153" t="s">
        <v>128</v>
      </c>
      <c r="D38" s="348">
        <v>0</v>
      </c>
      <c r="E38" s="381">
        <v>0</v>
      </c>
      <c r="F38" s="381">
        <v>0</v>
      </c>
      <c r="G38" s="381">
        <v>0</v>
      </c>
      <c r="H38" s="381">
        <v>0</v>
      </c>
      <c r="I38" s="381">
        <v>0</v>
      </c>
      <c r="J38" s="381">
        <v>0</v>
      </c>
      <c r="K38" s="385">
        <v>0</v>
      </c>
    </row>
    <row r="39" spans="2:12">
      <c r="B39" s="371" t="s">
        <v>641</v>
      </c>
      <c r="C39" s="153" t="s">
        <v>128</v>
      </c>
      <c r="D39" s="348">
        <v>0</v>
      </c>
      <c r="E39" s="381">
        <v>0</v>
      </c>
      <c r="F39" s="381">
        <v>0</v>
      </c>
      <c r="G39" s="381">
        <v>0</v>
      </c>
      <c r="H39" s="381">
        <v>0</v>
      </c>
      <c r="I39" s="381">
        <v>0</v>
      </c>
      <c r="J39" s="381">
        <v>0</v>
      </c>
      <c r="K39" s="385">
        <v>0</v>
      </c>
    </row>
    <row r="40" spans="2:12">
      <c r="B40" s="371" t="s">
        <v>642</v>
      </c>
      <c r="C40" s="153" t="s">
        <v>128</v>
      </c>
      <c r="D40" s="348">
        <v>0</v>
      </c>
      <c r="E40" s="381">
        <v>0</v>
      </c>
      <c r="F40" s="381">
        <v>0</v>
      </c>
      <c r="G40" s="381">
        <v>0</v>
      </c>
      <c r="H40" s="381">
        <v>0</v>
      </c>
      <c r="I40" s="381">
        <v>0</v>
      </c>
      <c r="J40" s="381">
        <v>0</v>
      </c>
      <c r="K40" s="385">
        <v>0</v>
      </c>
    </row>
    <row r="41" spans="2:12">
      <c r="B41" s="371" t="s">
        <v>643</v>
      </c>
      <c r="C41" s="153" t="s">
        <v>128</v>
      </c>
      <c r="D41" s="382">
        <v>0</v>
      </c>
      <c r="E41" s="383">
        <v>0</v>
      </c>
      <c r="F41" s="383">
        <v>0</v>
      </c>
      <c r="G41" s="383">
        <v>0</v>
      </c>
      <c r="H41" s="383">
        <v>0</v>
      </c>
      <c r="I41" s="383">
        <v>0</v>
      </c>
      <c r="J41" s="383">
        <v>0</v>
      </c>
      <c r="K41" s="386">
        <v>0</v>
      </c>
    </row>
    <row r="42" spans="2:12">
      <c r="B42" s="200" t="s">
        <v>233</v>
      </c>
      <c r="C42" s="153" t="s">
        <v>128</v>
      </c>
      <c r="D42" s="708">
        <f>SUM(D23,D26:D41)</f>
        <v>1024.5923918246751</v>
      </c>
      <c r="E42" s="708">
        <f t="shared" ref="E42:K42" si="3">SUM(E23,E26:E41)</f>
        <v>1014.4426068648028</v>
      </c>
      <c r="F42" s="708">
        <f t="shared" si="3"/>
        <v>1095.987723909295</v>
      </c>
      <c r="G42" s="708">
        <f t="shared" si="3"/>
        <v>1150.67246793</v>
      </c>
      <c r="H42" s="708">
        <f t="shared" si="3"/>
        <v>1151.0528420099999</v>
      </c>
      <c r="I42" s="708">
        <f t="shared" si="3"/>
        <v>1151.5850970399999</v>
      </c>
      <c r="J42" s="708">
        <f t="shared" si="3"/>
        <v>1228.5344350799996</v>
      </c>
      <c r="K42" s="708">
        <f t="shared" si="3"/>
        <v>1296.2744301100001</v>
      </c>
    </row>
    <row r="43" spans="2:12">
      <c r="B43" s="372" t="s">
        <v>304</v>
      </c>
      <c r="C43" s="153" t="s">
        <v>128</v>
      </c>
      <c r="D43" s="709"/>
      <c r="E43" s="710"/>
      <c r="F43" s="710"/>
      <c r="G43" s="711"/>
      <c r="H43" s="711"/>
      <c r="I43" s="711"/>
      <c r="J43" s="711">
        <v>0</v>
      </c>
      <c r="K43" s="712"/>
    </row>
    <row r="44" spans="2:12">
      <c r="B44" s="347" t="s">
        <v>421</v>
      </c>
      <c r="C44" s="153" t="s">
        <v>128</v>
      </c>
      <c r="D44" s="96">
        <f>SUM(D42:D43)</f>
        <v>1024.5923918246751</v>
      </c>
      <c r="E44" s="97">
        <f t="shared" ref="E44:K44" si="4">SUM(E42:E43)</f>
        <v>1014.4426068648028</v>
      </c>
      <c r="F44" s="97">
        <f t="shared" si="4"/>
        <v>1095.987723909295</v>
      </c>
      <c r="G44" s="97">
        <f t="shared" si="4"/>
        <v>1150.67246793</v>
      </c>
      <c r="H44" s="97">
        <f t="shared" si="4"/>
        <v>1151.0528420099999</v>
      </c>
      <c r="I44" s="97">
        <f t="shared" si="4"/>
        <v>1151.5850970399999</v>
      </c>
      <c r="J44" s="97">
        <f t="shared" si="4"/>
        <v>1228.5344350799996</v>
      </c>
      <c r="K44" s="98">
        <f t="shared" si="4"/>
        <v>1296.2744301100001</v>
      </c>
    </row>
    <row r="45" spans="2:12">
      <c r="D45" s="227" t="s">
        <v>649</v>
      </c>
      <c r="E45" s="228" t="s">
        <v>649</v>
      </c>
      <c r="F45" s="228" t="s">
        <v>649</v>
      </c>
      <c r="G45" s="228" t="s">
        <v>649</v>
      </c>
      <c r="H45" s="228" t="s">
        <v>649</v>
      </c>
      <c r="I45" s="228" t="s">
        <v>649</v>
      </c>
      <c r="J45" s="228" t="s">
        <v>649</v>
      </c>
      <c r="K45" s="229" t="s">
        <v>649</v>
      </c>
    </row>
    <row r="47" spans="2:12">
      <c r="B47" s="823" t="s">
        <v>422</v>
      </c>
      <c r="C47" s="153" t="s">
        <v>128</v>
      </c>
      <c r="D47" s="838">
        <v>964.3</v>
      </c>
      <c r="E47" s="97">
        <f>D48</f>
        <v>1024.5923918246751</v>
      </c>
      <c r="F47" s="97">
        <f t="shared" ref="F47:K47" si="5">E48</f>
        <v>1014.4426068648028</v>
      </c>
      <c r="G47" s="97">
        <f t="shared" si="5"/>
        <v>1095.987723909295</v>
      </c>
      <c r="H47" s="97">
        <f t="shared" si="5"/>
        <v>1150.67246793</v>
      </c>
      <c r="I47" s="97">
        <f t="shared" si="5"/>
        <v>1151.0528420099999</v>
      </c>
      <c r="J47" s="97">
        <f t="shared" si="5"/>
        <v>1151.5850970399999</v>
      </c>
      <c r="K47" s="98">
        <f t="shared" si="5"/>
        <v>1228.5344350799996</v>
      </c>
      <c r="L47" s="822"/>
    </row>
    <row r="48" spans="2:12">
      <c r="B48" s="823" t="s">
        <v>423</v>
      </c>
      <c r="C48" s="153" t="s">
        <v>128</v>
      </c>
      <c r="D48" s="580">
        <f>D44</f>
        <v>1024.5923918246751</v>
      </c>
      <c r="E48" s="581">
        <f>E44</f>
        <v>1014.4426068648028</v>
      </c>
      <c r="F48" s="581">
        <f t="shared" ref="F48:K48" si="6">F44</f>
        <v>1095.987723909295</v>
      </c>
      <c r="G48" s="581">
        <f t="shared" si="6"/>
        <v>1150.67246793</v>
      </c>
      <c r="H48" s="581">
        <f t="shared" si="6"/>
        <v>1151.0528420099999</v>
      </c>
      <c r="I48" s="581">
        <f t="shared" si="6"/>
        <v>1151.5850970399999</v>
      </c>
      <c r="J48" s="581">
        <f t="shared" si="6"/>
        <v>1228.5344350799996</v>
      </c>
      <c r="K48" s="837">
        <f t="shared" si="6"/>
        <v>1296.2744301100001</v>
      </c>
      <c r="L48" s="822"/>
    </row>
    <row r="49" spans="2:13">
      <c r="D49" s="23"/>
      <c r="E49" s="23"/>
      <c r="F49" s="23"/>
      <c r="G49" s="23"/>
      <c r="H49" s="23"/>
      <c r="I49" s="23"/>
      <c r="J49" s="23"/>
      <c r="K49" s="23"/>
    </row>
    <row r="50" spans="2:13">
      <c r="B50" s="14" t="s">
        <v>124</v>
      </c>
    </row>
    <row r="51" spans="2:13">
      <c r="B51" t="s">
        <v>125</v>
      </c>
      <c r="C51" s="482" t="s">
        <v>7</v>
      </c>
      <c r="D51" s="476">
        <v>0</v>
      </c>
      <c r="E51" s="477">
        <v>0</v>
      </c>
      <c r="F51" s="477">
        <v>0</v>
      </c>
      <c r="G51" s="477">
        <v>0</v>
      </c>
      <c r="H51" s="477">
        <v>0</v>
      </c>
      <c r="I51" s="477">
        <v>0</v>
      </c>
      <c r="J51" s="477">
        <v>0</v>
      </c>
      <c r="K51" s="478">
        <v>0</v>
      </c>
    </row>
    <row r="52" spans="2:13">
      <c r="B52" t="s">
        <v>126</v>
      </c>
      <c r="C52" s="482" t="s">
        <v>7</v>
      </c>
      <c r="D52" s="488">
        <f>1-D51</f>
        <v>1</v>
      </c>
      <c r="E52" s="489">
        <f t="shared" ref="E52:K52" si="7">1-E51</f>
        <v>1</v>
      </c>
      <c r="F52" s="489">
        <f t="shared" si="7"/>
        <v>1</v>
      </c>
      <c r="G52" s="489">
        <f t="shared" si="7"/>
        <v>1</v>
      </c>
      <c r="H52" s="489">
        <f t="shared" si="7"/>
        <v>1</v>
      </c>
      <c r="I52" s="489">
        <f t="shared" si="7"/>
        <v>1</v>
      </c>
      <c r="J52" s="489">
        <f t="shared" si="7"/>
        <v>1</v>
      </c>
      <c r="K52" s="490">
        <f t="shared" si="7"/>
        <v>1</v>
      </c>
    </row>
    <row r="53" spans="2:13">
      <c r="C53" s="822"/>
      <c r="D53" s="822"/>
      <c r="E53" s="822"/>
      <c r="F53" s="822"/>
      <c r="G53" s="822"/>
      <c r="H53" s="822"/>
      <c r="I53" s="822"/>
      <c r="J53" s="822"/>
      <c r="K53" s="822"/>
      <c r="L53" s="822"/>
    </row>
    <row r="54" spans="2:13">
      <c r="B54" s="201" t="s">
        <v>445</v>
      </c>
      <c r="C54" s="267" t="s">
        <v>128</v>
      </c>
      <c r="D54" s="713">
        <f>AVERAGE(D47:D48)*D52</f>
        <v>994.44619591233754</v>
      </c>
      <c r="E54" s="714">
        <f t="shared" ref="E54:K54" si="8">AVERAGE(E47:E48)*E52</f>
        <v>1019.517499344739</v>
      </c>
      <c r="F54" s="714">
        <f t="shared" si="8"/>
        <v>1055.215165387049</v>
      </c>
      <c r="G54" s="714">
        <f t="shared" si="8"/>
        <v>1123.3300959196476</v>
      </c>
      <c r="H54" s="714">
        <f t="shared" si="8"/>
        <v>1150.86265497</v>
      </c>
      <c r="I54" s="714">
        <f t="shared" si="8"/>
        <v>1151.3189695249998</v>
      </c>
      <c r="J54" s="714">
        <f t="shared" si="8"/>
        <v>1190.0597660599997</v>
      </c>
      <c r="K54" s="715">
        <f t="shared" si="8"/>
        <v>1262.4044325949999</v>
      </c>
    </row>
    <row r="55" spans="2:13">
      <c r="B55" s="201" t="s">
        <v>270</v>
      </c>
      <c r="C55" s="153" t="s">
        <v>128</v>
      </c>
      <c r="D55" s="702">
        <f>D56-D54</f>
        <v>630.41119873749403</v>
      </c>
      <c r="E55" s="703">
        <f t="shared" ref="E55:K55" si="9">E56-E54</f>
        <v>652.12336774713117</v>
      </c>
      <c r="F55" s="703">
        <f t="shared" si="9"/>
        <v>681.11242153368562</v>
      </c>
      <c r="G55" s="703">
        <f t="shared" si="9"/>
        <v>679.59387045079666</v>
      </c>
      <c r="H55" s="703">
        <f t="shared" si="9"/>
        <v>710.95814366536229</v>
      </c>
      <c r="I55" s="703">
        <f t="shared" si="9"/>
        <v>772.95293701737</v>
      </c>
      <c r="J55" s="703">
        <f t="shared" si="9"/>
        <v>886.50056210500679</v>
      </c>
      <c r="K55" s="704">
        <f t="shared" si="9"/>
        <v>1081.4513616657841</v>
      </c>
    </row>
    <row r="56" spans="2:13">
      <c r="B56" s="201" t="s">
        <v>492</v>
      </c>
      <c r="C56" s="153" t="s">
        <v>128</v>
      </c>
      <c r="D56" s="876">
        <f>IF(D6='RFPR cover'!$C$13,AVERAGE(('R9 - RAV'!D16*'R9 - RAV'!D36),'R9 - RAV'!D38),AVERAGE('R9 - RAV'!C38:D38))</f>
        <v>1624.8573946498316</v>
      </c>
      <c r="E56" s="876">
        <f>IF(E6='RFPR cover'!$C$13,AVERAGE(('R9 - RAV'!E16*'R9 - RAV'!E36),'R9 - RAV'!E38),AVERAGE('R9 - RAV'!D38:E38))</f>
        <v>1671.6408670918702</v>
      </c>
      <c r="F56" s="876">
        <f>IF(F6='RFPR cover'!$C$13,AVERAGE(('R9 - RAV'!F16*'R9 - RAV'!F36),'R9 - RAV'!F38),AVERAGE('R9 - RAV'!E38:F38))</f>
        <v>1736.3275869207346</v>
      </c>
      <c r="G56" s="876">
        <f>IF(G6='RFPR cover'!$C$13,AVERAGE(('R9 - RAV'!G16*'R9 - RAV'!G36),'R9 - RAV'!G38),AVERAGE('R9 - RAV'!F38:G38))</f>
        <v>1802.9239663704443</v>
      </c>
      <c r="H56" s="876">
        <f>IF(H6='RFPR cover'!$C$13,AVERAGE(('R9 - RAV'!H16*'R9 - RAV'!H36),'R9 - RAV'!H38),AVERAGE('R9 - RAV'!G38:H38))</f>
        <v>1861.8207986353623</v>
      </c>
      <c r="I56" s="876">
        <f>IF(I6='RFPR cover'!$C$13,AVERAGE(('R9 - RAV'!I16*'R9 - RAV'!I36),'R9 - RAV'!I38),AVERAGE('R9 - RAV'!H38:I38))</f>
        <v>1924.2719065423698</v>
      </c>
      <c r="J56" s="876">
        <f>IF(J6='RFPR cover'!$C$13,AVERAGE(('R9 - RAV'!J16*'R9 - RAV'!J36),'R9 - RAV'!J38),AVERAGE('R9 - RAV'!I38:J38))</f>
        <v>2076.5603281650065</v>
      </c>
      <c r="K56" s="876">
        <f>IF(K6='RFPR cover'!$C$13,AVERAGE(('R9 - RAV'!K16*'R9 - RAV'!K36),'R9 - RAV'!K38),AVERAGE('R9 - RAV'!J38:K38))</f>
        <v>2343.855794260784</v>
      </c>
    </row>
    <row r="57" spans="2:13">
      <c r="B57" s="201" t="s">
        <v>234</v>
      </c>
      <c r="C57" s="153" t="s">
        <v>7</v>
      </c>
      <c r="D57" s="232">
        <f>D54/D56</f>
        <v>0.61202059896871619</v>
      </c>
      <c r="E57" s="233">
        <f t="shared" ref="E57:K57" si="10">E54/E56</f>
        <v>0.60989026974339233</v>
      </c>
      <c r="F57" s="233">
        <f t="shared" si="10"/>
        <v>0.60772815759865062</v>
      </c>
      <c r="G57" s="233">
        <f t="shared" si="10"/>
        <v>0.62306016053526603</v>
      </c>
      <c r="H57" s="233">
        <f t="shared" si="10"/>
        <v>0.6181382525179302</v>
      </c>
      <c r="I57" s="233">
        <f t="shared" si="10"/>
        <v>0.59831407692988081</v>
      </c>
      <c r="J57" s="233">
        <f t="shared" si="10"/>
        <v>0.57309183360524829</v>
      </c>
      <c r="K57" s="234">
        <f t="shared" si="10"/>
        <v>0.53860157936599629</v>
      </c>
    </row>
    <row r="58" spans="2:13">
      <c r="B58" s="201" t="s">
        <v>115</v>
      </c>
      <c r="C58" s="153" t="s">
        <v>7</v>
      </c>
      <c r="D58" s="877">
        <f>'RFPR cover'!$C$12</f>
        <v>0.65</v>
      </c>
      <c r="E58" s="878">
        <f>'RFPR cover'!$C$12</f>
        <v>0.65</v>
      </c>
      <c r="F58" s="878">
        <f>'RFPR cover'!$C$12</f>
        <v>0.65</v>
      </c>
      <c r="G58" s="878">
        <f>'RFPR cover'!$C$12</f>
        <v>0.65</v>
      </c>
      <c r="H58" s="878">
        <f>'RFPR cover'!$C$12</f>
        <v>0.65</v>
      </c>
      <c r="I58" s="878">
        <f>'RFPR cover'!$C$12</f>
        <v>0.65</v>
      </c>
      <c r="J58" s="878">
        <f>'RFPR cover'!$C$12</f>
        <v>0.65</v>
      </c>
      <c r="K58" s="879">
        <f>'RFPR cover'!$C$12</f>
        <v>0.65</v>
      </c>
    </row>
    <row r="59" spans="2:13">
      <c r="B59" s="201" t="s">
        <v>235</v>
      </c>
      <c r="C59" s="153" t="s">
        <v>7</v>
      </c>
      <c r="D59" s="237">
        <f t="shared" ref="D59:K59" si="11">IF(ISBLANK(D23),"n/a",D57-D58)</f>
        <v>-3.7979401031283833E-2</v>
      </c>
      <c r="E59" s="238">
        <f t="shared" si="11"/>
        <v>-4.010973025660769E-2</v>
      </c>
      <c r="F59" s="238">
        <f t="shared" si="11"/>
        <v>-4.2271842401349402E-2</v>
      </c>
      <c r="G59" s="238">
        <f t="shared" si="11"/>
        <v>-2.6939839464733994E-2</v>
      </c>
      <c r="H59" s="238">
        <f t="shared" si="11"/>
        <v>-3.1861747482069824E-2</v>
      </c>
      <c r="I59" s="238">
        <f t="shared" si="11"/>
        <v>-5.1685923070119211E-2</v>
      </c>
      <c r="J59" s="238">
        <f t="shared" si="11"/>
        <v>-7.6908166394751731E-2</v>
      </c>
      <c r="K59" s="239">
        <f t="shared" si="11"/>
        <v>-0.11139842063400374</v>
      </c>
    </row>
    <row r="61" spans="2:13">
      <c r="B61" s="201" t="s">
        <v>499</v>
      </c>
      <c r="C61" s="156" t="str">
        <f>'RFPR cover'!$C$14</f>
        <v>£m 12/13</v>
      </c>
      <c r="D61" s="880">
        <f t="shared" ref="D61:K61" si="12">D63*D57</f>
        <v>920.91382520993795</v>
      </c>
      <c r="E61" s="706">
        <f t="shared" si="12"/>
        <v>922.53812443121046</v>
      </c>
      <c r="F61" s="706">
        <f t="shared" si="12"/>
        <v>924.21850661859924</v>
      </c>
      <c r="G61" s="706">
        <f t="shared" si="12"/>
        <v>955.46509399350623</v>
      </c>
      <c r="H61" s="706">
        <f t="shared" si="12"/>
        <v>956.31119097980707</v>
      </c>
      <c r="I61" s="706">
        <f t="shared" si="12"/>
        <v>937.13826752850468</v>
      </c>
      <c r="J61" s="706">
        <f t="shared" si="12"/>
        <v>912.54225474712553</v>
      </c>
      <c r="K61" s="707">
        <f t="shared" si="12"/>
        <v>870.73790028748613</v>
      </c>
      <c r="M61" s="323"/>
    </row>
    <row r="62" spans="2:13">
      <c r="B62" s="201" t="s">
        <v>497</v>
      </c>
      <c r="C62" s="156" t="str">
        <f>'RFPR cover'!$C$14</f>
        <v>£m 12/13</v>
      </c>
      <c r="D62" s="668">
        <f>D63*(1-D57)</f>
        <v>583.7966808771472</v>
      </c>
      <c r="E62" s="669">
        <f t="shared" ref="E62:K62" si="13">E63*(1-E57)</f>
        <v>590.09155700207884</v>
      </c>
      <c r="F62" s="669">
        <f t="shared" si="13"/>
        <v>596.55767441358159</v>
      </c>
      <c r="G62" s="669">
        <f t="shared" si="13"/>
        <v>578.03865815247229</v>
      </c>
      <c r="H62" s="669">
        <f t="shared" si="13"/>
        <v>590.77182335292525</v>
      </c>
      <c r="I62" s="669">
        <f t="shared" si="13"/>
        <v>629.15994216301192</v>
      </c>
      <c r="J62" s="669">
        <f t="shared" si="13"/>
        <v>679.77192814122168</v>
      </c>
      <c r="K62" s="670">
        <f t="shared" si="13"/>
        <v>745.92631616813082</v>
      </c>
      <c r="M62" s="323"/>
    </row>
    <row r="63" spans="2:13">
      <c r="B63" s="201" t="s">
        <v>498</v>
      </c>
      <c r="C63" s="156" t="str">
        <f>'RFPR cover'!$C$14</f>
        <v>£m 12/13</v>
      </c>
      <c r="D63" s="875">
        <f>'R9 - RAV'!D47</f>
        <v>1504.7105060870852</v>
      </c>
      <c r="E63" s="875">
        <f>'R9 - RAV'!E47</f>
        <v>1512.6296814332893</v>
      </c>
      <c r="F63" s="875">
        <f>'R9 - RAV'!F47</f>
        <v>1520.7761810321808</v>
      </c>
      <c r="G63" s="875">
        <f>'R9 - RAV'!G47</f>
        <v>1533.5037521459785</v>
      </c>
      <c r="H63" s="875">
        <f>'R9 - RAV'!H47</f>
        <v>1547.0830143327323</v>
      </c>
      <c r="I63" s="875">
        <f>'R9 - RAV'!I47</f>
        <v>1566.2982096915166</v>
      </c>
      <c r="J63" s="875">
        <f>'R9 - RAV'!J47</f>
        <v>1592.3141828883472</v>
      </c>
      <c r="K63" s="875">
        <f>'R9 - RAV'!K47</f>
        <v>1616.664216455617</v>
      </c>
    </row>
    <row r="64" spans="2:13">
      <c r="B64" s="201" t="s">
        <v>234</v>
      </c>
      <c r="C64" s="153" t="s">
        <v>7</v>
      </c>
      <c r="D64" s="232">
        <f>D61/D63</f>
        <v>0.61202059896871619</v>
      </c>
      <c r="E64" s="233">
        <f t="shared" ref="E64:K64" si="14">E61/E63</f>
        <v>0.60989026974339233</v>
      </c>
      <c r="F64" s="233">
        <f t="shared" si="14"/>
        <v>0.60772815759865062</v>
      </c>
      <c r="G64" s="233">
        <f t="shared" si="14"/>
        <v>0.62306016053526603</v>
      </c>
      <c r="H64" s="233">
        <f t="shared" si="14"/>
        <v>0.6181382525179302</v>
      </c>
      <c r="I64" s="233">
        <f t="shared" si="14"/>
        <v>0.59831407692988081</v>
      </c>
      <c r="J64" s="233">
        <f t="shared" si="14"/>
        <v>0.57309183360524829</v>
      </c>
      <c r="K64" s="234">
        <f t="shared" si="14"/>
        <v>0.53860157936599629</v>
      </c>
    </row>
    <row r="65" spans="2:11">
      <c r="B65" s="201" t="s">
        <v>115</v>
      </c>
      <c r="C65" s="153" t="s">
        <v>7</v>
      </c>
      <c r="D65" s="877">
        <f>'RFPR cover'!$C$12</f>
        <v>0.65</v>
      </c>
      <c r="E65" s="878">
        <f>'RFPR cover'!$C$12</f>
        <v>0.65</v>
      </c>
      <c r="F65" s="878">
        <f>'RFPR cover'!$C$12</f>
        <v>0.65</v>
      </c>
      <c r="G65" s="878">
        <f>'RFPR cover'!$C$12</f>
        <v>0.65</v>
      </c>
      <c r="H65" s="878">
        <f>'RFPR cover'!$C$12</f>
        <v>0.65</v>
      </c>
      <c r="I65" s="878">
        <f>'RFPR cover'!$C$12</f>
        <v>0.65</v>
      </c>
      <c r="J65" s="878">
        <f>'RFPR cover'!$C$12</f>
        <v>0.65</v>
      </c>
      <c r="K65" s="879">
        <f>'RFPR cover'!$C$12</f>
        <v>0.65</v>
      </c>
    </row>
    <row r="66" spans="2:11">
      <c r="B66" s="201" t="s">
        <v>235</v>
      </c>
      <c r="C66" s="153" t="s">
        <v>7</v>
      </c>
      <c r="D66" s="237">
        <f t="shared" ref="D66:K66" si="15">IF(ISBLANK(D23),"n/a",D64-D65)</f>
        <v>-3.7979401031283833E-2</v>
      </c>
      <c r="E66" s="238">
        <f t="shared" si="15"/>
        <v>-4.010973025660769E-2</v>
      </c>
      <c r="F66" s="238">
        <f t="shared" si="15"/>
        <v>-4.2271842401349402E-2</v>
      </c>
      <c r="G66" s="238">
        <f t="shared" si="15"/>
        <v>-2.6939839464733994E-2</v>
      </c>
      <c r="H66" s="238">
        <f t="shared" si="15"/>
        <v>-3.1861747482069824E-2</v>
      </c>
      <c r="I66" s="238">
        <f t="shared" si="15"/>
        <v>-5.1685923070119211E-2</v>
      </c>
      <c r="J66" s="238">
        <f t="shared" si="15"/>
        <v>-7.6908166394751731E-2</v>
      </c>
      <c r="K66" s="239">
        <f t="shared" si="15"/>
        <v>-0.11139842063400374</v>
      </c>
    </row>
  </sheetData>
  <conditionalFormatting sqref="D6:K6">
    <cfRule type="expression" dxfId="28" priority="18">
      <formula>AND(D$5="Actuals",E$5="Forecast")</formula>
    </cfRule>
  </conditionalFormatting>
  <conditionalFormatting sqref="D5:K5">
    <cfRule type="expression" dxfId="27"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zoomScale="80" zoomScaleNormal="80" workbookViewId="0">
      <pane ySplit="6" topLeftCell="A22" activePane="bottomLeft" state="frozen"/>
      <selection activeCell="B75" sqref="A1:XFD1048576"/>
      <selection pane="bottomLeft" activeCell="K23" sqref="K23"/>
    </sheetView>
  </sheetViews>
  <sheetFormatPr defaultRowHeight="12.75"/>
  <cols>
    <col min="1" max="1" width="8.375" customWidth="1"/>
    <col min="2" max="2" width="100.125" customWidth="1"/>
    <col min="3" max="3" width="14.125" style="199" customWidth="1"/>
    <col min="4" max="11" width="11.125" customWidth="1"/>
    <col min="12" max="12" width="5" customWidth="1"/>
    <col min="14" max="14" width="9" style="214"/>
  </cols>
  <sheetData>
    <row r="1" spans="1:14" s="31" customFormat="1" ht="20.25">
      <c r="A1" s="911" t="s">
        <v>120</v>
      </c>
      <c r="B1" s="940"/>
      <c r="C1" s="399"/>
      <c r="D1" s="121"/>
      <c r="E1" s="121"/>
      <c r="F1" s="121"/>
      <c r="G1" s="121"/>
      <c r="H1" s="121"/>
      <c r="I1" s="127"/>
      <c r="J1" s="127"/>
      <c r="K1" s="128"/>
      <c r="L1" s="365"/>
      <c r="N1" s="213"/>
    </row>
    <row r="2" spans="1:14" s="31" customFormat="1" ht="20.25">
      <c r="A2" s="914" t="str">
        <f>'RFPR cover'!C5</f>
        <v>ENWL</v>
      </c>
      <c r="B2" s="906"/>
      <c r="C2" s="222"/>
      <c r="D2" s="29"/>
      <c r="E2" s="29"/>
      <c r="F2" s="29"/>
      <c r="G2" s="29"/>
      <c r="H2" s="29"/>
      <c r="I2" s="27"/>
      <c r="J2" s="27"/>
      <c r="K2" s="27"/>
      <c r="L2" s="124"/>
      <c r="N2" s="213"/>
    </row>
    <row r="3" spans="1:14" s="31" customFormat="1" ht="20.25">
      <c r="A3" s="917">
        <f>'RFPR cover'!C7</f>
        <v>2023</v>
      </c>
      <c r="B3" s="924"/>
      <c r="C3" s="400"/>
      <c r="D3" s="261"/>
      <c r="E3" s="261"/>
      <c r="F3" s="261"/>
      <c r="G3" s="261"/>
      <c r="H3" s="261"/>
      <c r="I3" s="256"/>
      <c r="J3" s="256"/>
      <c r="K3" s="256"/>
      <c r="L3" s="262"/>
      <c r="N3" s="213"/>
    </row>
    <row r="4" spans="1:14" s="2" customFormat="1" ht="12.75" customHeight="1">
      <c r="C4" s="1"/>
      <c r="N4" s="130"/>
    </row>
    <row r="5" spans="1:14" s="2" customFormat="1">
      <c r="B5" s="38"/>
      <c r="C5" s="223"/>
      <c r="D5" s="392" t="str">
        <f>IF(D6&lt;='RFPR cover'!$C$7-1,"Actuals","Forecast")</f>
        <v>Actuals</v>
      </c>
      <c r="E5" s="392" t="str">
        <f>IF(E6&lt;='RFPR cover'!$C$7-1,"Actuals","Forecast")</f>
        <v>Actuals</v>
      </c>
      <c r="F5" s="392" t="str">
        <f>IF(F6&lt;='RFPR cover'!$C$7-1,"Actuals","Forecast")</f>
        <v>Actuals</v>
      </c>
      <c r="G5" s="392" t="str">
        <f>IF(G6&lt;='RFPR cover'!$C$7-1,"Actuals","Forecast")</f>
        <v>Actuals</v>
      </c>
      <c r="H5" s="392" t="str">
        <f>IF(H6&lt;='RFPR cover'!$C$7-1,"Actuals","Forecast")</f>
        <v>Actuals</v>
      </c>
      <c r="I5" s="392" t="str">
        <f>IF(I6&lt;='RFPR cover'!$C$7-1,"Actuals","Forecast")</f>
        <v>Actuals</v>
      </c>
      <c r="J5" s="392" t="str">
        <f>IF(J6&lt;='RFPR cover'!$C$7-1,"Actuals","Forecast")</f>
        <v>Actuals</v>
      </c>
      <c r="K5" s="392" t="str">
        <f>IF(K6&lt;='RFPR cover'!$C$7-1,"Actuals","Forecast")</f>
        <v>Forecast</v>
      </c>
      <c r="N5" s="130"/>
    </row>
    <row r="6" spans="1:14" s="2" customFormat="1">
      <c r="C6" s="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N6" s="130"/>
    </row>
    <row r="7" spans="1:14" s="2" customFormat="1">
      <c r="A7" s="35"/>
      <c r="B7" s="35"/>
      <c r="C7" s="321"/>
      <c r="D7" s="431"/>
      <c r="E7" s="431"/>
      <c r="F7" s="431"/>
      <c r="G7" s="431"/>
      <c r="H7" s="431"/>
      <c r="I7" s="431"/>
      <c r="J7" s="431"/>
      <c r="K7" s="431"/>
      <c r="L7" s="35"/>
      <c r="M7" s="35"/>
      <c r="N7" s="226"/>
    </row>
    <row r="8" spans="1:14" s="2" customFormat="1">
      <c r="B8" s="12" t="s">
        <v>321</v>
      </c>
      <c r="N8" s="130"/>
    </row>
    <row r="9" spans="1:14" s="2" customFormat="1">
      <c r="B9" s="370" t="s">
        <v>320</v>
      </c>
      <c r="C9" s="370"/>
      <c r="D9" s="370"/>
      <c r="E9" s="370"/>
      <c r="F9" s="370"/>
      <c r="G9" s="370"/>
      <c r="H9" s="370"/>
      <c r="I9" s="370"/>
      <c r="J9" s="370"/>
      <c r="K9" s="370"/>
      <c r="L9" s="370"/>
      <c r="N9" s="130"/>
    </row>
    <row r="10" spans="1:14" s="35" customFormat="1">
      <c r="B10" s="430"/>
      <c r="C10" s="430"/>
      <c r="D10" s="430"/>
      <c r="E10" s="430"/>
      <c r="F10" s="430"/>
      <c r="G10" s="430"/>
      <c r="H10" s="430"/>
      <c r="I10" s="430"/>
      <c r="J10" s="430"/>
      <c r="K10" s="430"/>
      <c r="L10" s="430"/>
      <c r="N10" s="226"/>
    </row>
    <row r="11" spans="1:14" s="2" customFormat="1">
      <c r="B11" s="201" t="s">
        <v>319</v>
      </c>
      <c r="C11" s="211" t="str">
        <f>'RFPR cover'!$C$14</f>
        <v>£m 12/13</v>
      </c>
      <c r="D11" s="716">
        <v>1538.001162567462</v>
      </c>
      <c r="E11" s="717">
        <v>1534.2261022857613</v>
      </c>
      <c r="F11" s="717">
        <v>1548.5899685980619</v>
      </c>
      <c r="G11" s="717">
        <v>1567.3286296950519</v>
      </c>
      <c r="H11" s="717">
        <v>1583.1050712094914</v>
      </c>
      <c r="I11" s="717">
        <v>1600.4011003007645</v>
      </c>
      <c r="J11" s="717">
        <v>1625.682172855265</v>
      </c>
      <c r="K11" s="718">
        <v>1653.7160919106689</v>
      </c>
      <c r="N11" s="130"/>
    </row>
    <row r="12" spans="1:14" s="2" customFormat="1">
      <c r="N12" s="130"/>
    </row>
    <row r="13" spans="1:14" s="2" customFormat="1">
      <c r="B13" s="12" t="s">
        <v>322</v>
      </c>
      <c r="C13" s="1"/>
      <c r="D13" s="1"/>
      <c r="E13" s="1"/>
      <c r="F13" s="1"/>
      <c r="G13" s="1"/>
      <c r="H13" s="1"/>
      <c r="I13" s="1"/>
      <c r="J13" s="1"/>
      <c r="K13" s="1"/>
      <c r="N13" s="130"/>
    </row>
    <row r="14" spans="1:14" s="2" customFormat="1">
      <c r="B14" s="370" t="s">
        <v>344</v>
      </c>
      <c r="C14" s="322"/>
      <c r="D14" s="322"/>
      <c r="E14" s="322"/>
      <c r="F14" s="322"/>
      <c r="G14" s="322"/>
      <c r="H14" s="322"/>
      <c r="I14" s="322"/>
      <c r="J14" s="322"/>
      <c r="K14" s="322"/>
      <c r="L14" s="294"/>
      <c r="N14" s="130"/>
    </row>
    <row r="15" spans="1:14" s="35" customFormat="1">
      <c r="B15" s="430"/>
      <c r="C15" s="321"/>
      <c r="D15" s="321"/>
      <c r="E15" s="321"/>
      <c r="F15" s="321"/>
      <c r="G15" s="321"/>
      <c r="H15" s="321"/>
      <c r="I15" s="321"/>
      <c r="J15" s="321"/>
      <c r="K15" s="321"/>
      <c r="N15" s="226"/>
    </row>
    <row r="16" spans="1:14" s="2" customFormat="1">
      <c r="B16" s="394" t="s">
        <v>323</v>
      </c>
      <c r="C16" s="211" t="str">
        <f>'RFPR cover'!$C$14</f>
        <v>£m 12/13</v>
      </c>
      <c r="D16" s="584">
        <v>1526.2241241972242</v>
      </c>
      <c r="E16" s="719">
        <f>D29</f>
        <v>1538.9280110426796</v>
      </c>
      <c r="F16" s="719">
        <f t="shared" ref="F16:K16" si="1">E29</f>
        <v>1540.9243023763906</v>
      </c>
      <c r="G16" s="719">
        <f t="shared" si="1"/>
        <v>1554.4780976098741</v>
      </c>
      <c r="H16" s="719">
        <f t="shared" si="1"/>
        <v>1564.8402362121826</v>
      </c>
      <c r="I16" s="719">
        <f t="shared" si="1"/>
        <v>1580.7264323376367</v>
      </c>
      <c r="J16" s="719">
        <f t="shared" si="1"/>
        <v>1602.4143925234653</v>
      </c>
      <c r="K16" s="587">
        <f t="shared" si="1"/>
        <v>1632.1011798299037</v>
      </c>
      <c r="N16" s="130"/>
    </row>
    <row r="17" spans="2:14" s="2" customFormat="1">
      <c r="B17" s="394" t="s">
        <v>324</v>
      </c>
      <c r="C17" s="211" t="str">
        <f>'RFPR cover'!$C$14</f>
        <v>£m 12/13</v>
      </c>
      <c r="D17" s="592">
        <v>0</v>
      </c>
      <c r="E17" s="593">
        <v>0</v>
      </c>
      <c r="F17" s="593">
        <v>0</v>
      </c>
      <c r="G17" s="593">
        <v>0</v>
      </c>
      <c r="H17" s="593">
        <v>0</v>
      </c>
      <c r="I17" s="593">
        <v>0</v>
      </c>
      <c r="J17" s="593">
        <v>0</v>
      </c>
      <c r="K17" s="686">
        <v>0</v>
      </c>
      <c r="N17" s="130"/>
    </row>
    <row r="18" spans="2:14" s="2" customFormat="1">
      <c r="B18" s="12" t="s">
        <v>325</v>
      </c>
      <c r="C18" s="211" t="str">
        <f>'RFPR cover'!$C$14</f>
        <v>£m 12/13</v>
      </c>
      <c r="D18" s="720">
        <f>SUM(D16:D17)</f>
        <v>1526.2241241972242</v>
      </c>
      <c r="E18" s="721">
        <f t="shared" ref="E18:K18" si="2">SUM(E16:E17)</f>
        <v>1538.9280110426796</v>
      </c>
      <c r="F18" s="721">
        <f t="shared" si="2"/>
        <v>1540.9243023763906</v>
      </c>
      <c r="G18" s="721">
        <f t="shared" si="2"/>
        <v>1554.4780976098741</v>
      </c>
      <c r="H18" s="721">
        <f t="shared" si="2"/>
        <v>1564.8402362121826</v>
      </c>
      <c r="I18" s="721">
        <f t="shared" si="2"/>
        <v>1580.7264323376367</v>
      </c>
      <c r="J18" s="721">
        <f t="shared" si="2"/>
        <v>1602.4143925234653</v>
      </c>
      <c r="K18" s="722">
        <f t="shared" si="2"/>
        <v>1632.1011798299037</v>
      </c>
      <c r="N18" s="130"/>
    </row>
    <row r="19" spans="2:14" s="2" customFormat="1">
      <c r="B19" s="396" t="s">
        <v>326</v>
      </c>
      <c r="C19" s="211" t="str">
        <f>'RFPR cover'!$C$14</f>
        <v>£m 12/13</v>
      </c>
      <c r="D19" s="588">
        <v>159.46104281673271</v>
      </c>
      <c r="E19" s="589">
        <v>145.30428028833489</v>
      </c>
      <c r="F19" s="589">
        <v>155.00188809981407</v>
      </c>
      <c r="G19" s="589">
        <v>157.65089000047814</v>
      </c>
      <c r="H19" s="589">
        <v>152.04141332579476</v>
      </c>
      <c r="I19" s="589">
        <v>150.93723656742813</v>
      </c>
      <c r="J19" s="589">
        <v>156.84191024562898</v>
      </c>
      <c r="K19" s="685">
        <v>154.0526392563298</v>
      </c>
      <c r="N19" s="130"/>
    </row>
    <row r="20" spans="2:14" s="2" customFormat="1">
      <c r="B20" s="396" t="s">
        <v>333</v>
      </c>
      <c r="C20" s="211" t="str">
        <f>'RFPR cover'!$C$14</f>
        <v>£m 12/13</v>
      </c>
      <c r="D20" s="592">
        <v>0.92684847521755387</v>
      </c>
      <c r="E20" s="593">
        <v>5.8114315494751736</v>
      </c>
      <c r="F20" s="593">
        <v>-0.54860327620207272</v>
      </c>
      <c r="G20" s="593">
        <v>-8.1337305482776685</v>
      </c>
      <c r="H20" s="593">
        <v>0.1022779251636905</v>
      </c>
      <c r="I20" s="593">
        <v>4.3873253680070263</v>
      </c>
      <c r="J20" s="593">
        <v>4.5056834767025293</v>
      </c>
      <c r="K20" s="686">
        <v>-6.2733888129020556</v>
      </c>
      <c r="N20" s="130"/>
    </row>
    <row r="21" spans="2:14" s="2" customFormat="1">
      <c r="B21" s="395" t="s">
        <v>329</v>
      </c>
      <c r="C21" s="211" t="str">
        <f>'RFPR cover'!$C$14</f>
        <v>£m 12/13</v>
      </c>
      <c r="D21" s="720">
        <f t="shared" ref="D21:K21" si="3">SUM(D19:D20)</f>
        <v>160.38789129195027</v>
      </c>
      <c r="E21" s="721">
        <f t="shared" si="3"/>
        <v>151.11571183781007</v>
      </c>
      <c r="F21" s="721">
        <f t="shared" si="3"/>
        <v>154.45328482361199</v>
      </c>
      <c r="G21" s="721">
        <f t="shared" si="3"/>
        <v>149.51715945220047</v>
      </c>
      <c r="H21" s="721">
        <f t="shared" si="3"/>
        <v>152.14369125095845</v>
      </c>
      <c r="I21" s="721">
        <f t="shared" si="3"/>
        <v>155.32456193543516</v>
      </c>
      <c r="J21" s="721">
        <f t="shared" si="3"/>
        <v>161.34759372233151</v>
      </c>
      <c r="K21" s="722">
        <f t="shared" si="3"/>
        <v>147.77925044342774</v>
      </c>
      <c r="N21" s="130"/>
    </row>
    <row r="22" spans="2:14" s="2" customFormat="1">
      <c r="B22" s="396" t="s">
        <v>327</v>
      </c>
      <c r="C22" s="211" t="str">
        <f>'RFPR cover'!$C$14</f>
        <v>£m 12/13</v>
      </c>
      <c r="D22" s="588">
        <v>-147.68400444649504</v>
      </c>
      <c r="E22" s="589">
        <v>-149.07934057003555</v>
      </c>
      <c r="F22" s="589">
        <v>-140.63802178751357</v>
      </c>
      <c r="G22" s="589">
        <v>-138.9122289034882</v>
      </c>
      <c r="H22" s="589">
        <v>-136.26497181135534</v>
      </c>
      <c r="I22" s="589">
        <v>-133.64120747615482</v>
      </c>
      <c r="J22" s="589">
        <v>-131.5521908426216</v>
      </c>
      <c r="K22" s="685">
        <v>-129.82370380379709</v>
      </c>
      <c r="N22" s="130"/>
    </row>
    <row r="23" spans="2:14" s="2" customFormat="1">
      <c r="B23" s="396" t="s">
        <v>328</v>
      </c>
      <c r="C23" s="211" t="str">
        <f>'RFPR cover'!$C$14</f>
        <v>£m 12/13</v>
      </c>
      <c r="D23" s="592">
        <v>0</v>
      </c>
      <c r="E23" s="593">
        <v>-4.0079934063470546E-2</v>
      </c>
      <c r="F23" s="593">
        <v>-0.26146780261490221</v>
      </c>
      <c r="G23" s="593">
        <v>-0.24279194640377</v>
      </c>
      <c r="H23" s="593">
        <v>7.4766858509747181E-3</v>
      </c>
      <c r="I23" s="593">
        <v>4.6057265481067589E-3</v>
      </c>
      <c r="J23" s="593">
        <v>-0.10861557327143601</v>
      </c>
      <c r="K23" s="686">
        <v>-0.21621398465538277</v>
      </c>
      <c r="N23" s="130"/>
    </row>
    <row r="24" spans="2:14" s="2" customFormat="1">
      <c r="B24" s="395" t="s">
        <v>330</v>
      </c>
      <c r="C24" s="211" t="str">
        <f>'RFPR cover'!$C$14</f>
        <v>£m 12/13</v>
      </c>
      <c r="D24" s="720">
        <f t="shared" ref="D24:K24" si="4">SUM(D22:D23)</f>
        <v>-147.68400444649504</v>
      </c>
      <c r="E24" s="721">
        <f t="shared" si="4"/>
        <v>-149.11942050409903</v>
      </c>
      <c r="F24" s="721">
        <f t="shared" si="4"/>
        <v>-140.89948959012847</v>
      </c>
      <c r="G24" s="721">
        <f t="shared" si="4"/>
        <v>-139.15502084989197</v>
      </c>
      <c r="H24" s="721">
        <f t="shared" si="4"/>
        <v>-136.25749512550436</v>
      </c>
      <c r="I24" s="721">
        <f t="shared" si="4"/>
        <v>-133.63660174960671</v>
      </c>
      <c r="J24" s="721">
        <f t="shared" si="4"/>
        <v>-131.66080641589303</v>
      </c>
      <c r="K24" s="722">
        <f t="shared" si="4"/>
        <v>-130.03991778845247</v>
      </c>
      <c r="N24" s="130"/>
    </row>
    <row r="25" spans="2:14" s="2" customFormat="1">
      <c r="B25" s="397" t="s">
        <v>266</v>
      </c>
      <c r="C25" s="211" t="str">
        <f>'RFPR cover'!$C$14</f>
        <v>£m 12/13</v>
      </c>
      <c r="D25" s="723"/>
      <c r="E25" s="724"/>
      <c r="F25" s="724"/>
      <c r="G25" s="724"/>
      <c r="H25" s="724"/>
      <c r="I25" s="724"/>
      <c r="J25" s="724"/>
      <c r="K25" s="725"/>
      <c r="N25" s="130"/>
    </row>
    <row r="26" spans="2:14" s="2" customFormat="1">
      <c r="B26" s="397" t="s">
        <v>266</v>
      </c>
      <c r="C26" s="211" t="str">
        <f>'RFPR cover'!$C$14</f>
        <v>£m 12/13</v>
      </c>
      <c r="D26" s="723"/>
      <c r="E26" s="724"/>
      <c r="F26" s="724"/>
      <c r="G26" s="724"/>
      <c r="H26" s="724"/>
      <c r="I26" s="724"/>
      <c r="J26" s="724"/>
      <c r="K26" s="725"/>
      <c r="N26" s="130"/>
    </row>
    <row r="27" spans="2:14" s="2" customFormat="1">
      <c r="B27" s="397" t="s">
        <v>266</v>
      </c>
      <c r="C27" s="211" t="str">
        <f>'RFPR cover'!$C$14</f>
        <v>£m 12/13</v>
      </c>
      <c r="D27" s="723"/>
      <c r="E27" s="724"/>
      <c r="F27" s="724"/>
      <c r="G27" s="724"/>
      <c r="H27" s="724"/>
      <c r="I27" s="724"/>
      <c r="J27" s="724"/>
      <c r="K27" s="725"/>
      <c r="N27" s="130"/>
    </row>
    <row r="28" spans="2:14" s="2" customFormat="1">
      <c r="B28" s="395" t="s">
        <v>331</v>
      </c>
      <c r="C28" s="211" t="str">
        <f>'RFPR cover'!$C$14</f>
        <v>£m 12/13</v>
      </c>
      <c r="D28" s="726">
        <f>SUM(D25:D27)</f>
        <v>0</v>
      </c>
      <c r="E28" s="727">
        <f t="shared" ref="E28:K28" si="5">SUM(E25:E27)</f>
        <v>0</v>
      </c>
      <c r="F28" s="727">
        <f t="shared" si="5"/>
        <v>0</v>
      </c>
      <c r="G28" s="727">
        <f t="shared" si="5"/>
        <v>0</v>
      </c>
      <c r="H28" s="727">
        <f t="shared" si="5"/>
        <v>0</v>
      </c>
      <c r="I28" s="727">
        <f t="shared" si="5"/>
        <v>0</v>
      </c>
      <c r="J28" s="727">
        <f t="shared" si="5"/>
        <v>0</v>
      </c>
      <c r="K28" s="728">
        <f t="shared" si="5"/>
        <v>0</v>
      </c>
      <c r="N28" s="130"/>
    </row>
    <row r="29" spans="2:14" s="2" customFormat="1">
      <c r="B29" s="12" t="s">
        <v>332</v>
      </c>
      <c r="C29" s="211" t="str">
        <f>'RFPR cover'!$C$14</f>
        <v>£m 12/13</v>
      </c>
      <c r="D29" s="729">
        <f>D18+D21+D24+D28</f>
        <v>1538.9280110426796</v>
      </c>
      <c r="E29" s="730">
        <f t="shared" ref="E29:K29" si="6">E18+E21+E24+E28</f>
        <v>1540.9243023763906</v>
      </c>
      <c r="F29" s="730">
        <f t="shared" si="6"/>
        <v>1554.4780976098741</v>
      </c>
      <c r="G29" s="730">
        <f t="shared" si="6"/>
        <v>1564.8402362121826</v>
      </c>
      <c r="H29" s="730">
        <f t="shared" si="6"/>
        <v>1580.7264323376367</v>
      </c>
      <c r="I29" s="730">
        <f t="shared" si="6"/>
        <v>1602.4143925234653</v>
      </c>
      <c r="J29" s="730">
        <f t="shared" si="6"/>
        <v>1632.1011798299037</v>
      </c>
      <c r="K29" s="731">
        <f t="shared" si="6"/>
        <v>1649.8405124848791</v>
      </c>
      <c r="N29" s="130"/>
    </row>
    <row r="30" spans="2:14" s="2" customFormat="1">
      <c r="B30" s="12"/>
      <c r="C30" s="211"/>
      <c r="D30" s="211"/>
      <c r="E30" s="211"/>
      <c r="F30" s="211"/>
      <c r="G30" s="211"/>
      <c r="H30" s="211"/>
      <c r="I30" s="211"/>
      <c r="J30" s="211"/>
      <c r="K30" s="211"/>
      <c r="L30" s="211"/>
      <c r="N30" s="130"/>
    </row>
    <row r="31" spans="2:14" s="2" customFormat="1">
      <c r="B31" s="12" t="s">
        <v>495</v>
      </c>
      <c r="C31" s="211" t="str">
        <f>'RFPR cover'!$C$14</f>
        <v>£m 12/13</v>
      </c>
      <c r="D31" s="729">
        <f t="shared" ref="D31:K31" si="7">(D20+D23+D28)</f>
        <v>0.92684847521755387</v>
      </c>
      <c r="E31" s="729">
        <f t="shared" si="7"/>
        <v>5.7713516154117031</v>
      </c>
      <c r="F31" s="729">
        <f t="shared" si="7"/>
        <v>-0.81007107881697493</v>
      </c>
      <c r="G31" s="729">
        <f t="shared" si="7"/>
        <v>-8.3765224946814385</v>
      </c>
      <c r="H31" s="729">
        <f t="shared" si="7"/>
        <v>0.10975461101466522</v>
      </c>
      <c r="I31" s="729">
        <f t="shared" si="7"/>
        <v>4.3919310945551331</v>
      </c>
      <c r="J31" s="729">
        <f t="shared" si="7"/>
        <v>4.3970679034310933</v>
      </c>
      <c r="K31" s="729">
        <f t="shared" si="7"/>
        <v>-6.4896027975574384</v>
      </c>
      <c r="L31" s="211"/>
      <c r="N31" s="130"/>
    </row>
    <row r="32" spans="2:14" s="2" customFormat="1">
      <c r="B32" s="12" t="s">
        <v>496</v>
      </c>
      <c r="C32" s="211"/>
      <c r="D32" s="516" t="str">
        <f>IF(D5="Actuals",IF(ABS((D29-SUM($D$31:D31))-D11)&lt;'RFPR cover'!$F$14,"TRUE","FALSE"),"NA")</f>
        <v>TRUE</v>
      </c>
      <c r="E32" s="516" t="str">
        <f>IF(E5="Actuals",IF(ABS((E29-SUM($D$31:E31))-E11)&lt;'RFPR cover'!$F$14,"TRUE","FALSE"),"NA")</f>
        <v>TRUE</v>
      </c>
      <c r="F32" s="516" t="str">
        <f>IF(F5="Actuals",IF(ABS((F29-SUM($D$31:F31))-F11)&lt;'RFPR cover'!$F$14,"TRUE","FALSE"),"NA")</f>
        <v>TRUE</v>
      </c>
      <c r="G32" s="516" t="str">
        <f>IF(G5="Actuals",IF(ABS((G29-SUM($D$31:G31))-G11)&lt;'RFPR cover'!$F$14,"TRUE","FALSE"),"NA")</f>
        <v>TRUE</v>
      </c>
      <c r="H32" s="516" t="str">
        <f>IF(H5="Actuals",IF(ABS((H29-SUM($D$31:H31))-H11)&lt;'RFPR cover'!$F$14,"TRUE","FALSE"),"NA")</f>
        <v>TRUE</v>
      </c>
      <c r="I32" s="516" t="str">
        <f>IF(I5="Actuals",IF(ABS((I29-SUM($D$31:I31))-I11)&lt;'RFPR cover'!$F$14,"TRUE","FALSE"),"NA")</f>
        <v>TRUE</v>
      </c>
      <c r="J32" s="516" t="str">
        <f>IF(J5="Actuals",IF(ABS((J29-SUM($D$31:J31))-J11)&lt;'RFPR cover'!$F$14,"TRUE","FALSE"),"NA")</f>
        <v>TRUE</v>
      </c>
      <c r="K32" s="516" t="str">
        <f>IF(K5="Actuals",IF(ABS((K29-SUM($D$31:K31))-K11)&lt;'RFPR cover'!$F$14,"TRUE","FALSE"),"NA")</f>
        <v>NA</v>
      </c>
      <c r="L32" s="211"/>
      <c r="N32" s="130"/>
    </row>
    <row r="33" spans="2:14" s="35" customFormat="1">
      <c r="B33" s="51"/>
      <c r="C33" s="479"/>
      <c r="D33" s="480"/>
      <c r="E33" s="480"/>
      <c r="F33" s="480"/>
      <c r="G33" s="480"/>
      <c r="H33" s="480"/>
      <c r="I33" s="480"/>
      <c r="J33" s="480"/>
      <c r="K33" s="480"/>
      <c r="N33" s="226"/>
    </row>
    <row r="34" spans="2:14" s="35" customFormat="1">
      <c r="B34" s="51" t="s">
        <v>42</v>
      </c>
      <c r="C34" s="268" t="s">
        <v>127</v>
      </c>
      <c r="D34" s="113">
        <f>Data!C$35</f>
        <v>1.0677429242873198</v>
      </c>
      <c r="E34" s="113">
        <f>Data!D$35</f>
        <v>1.1033002963114336</v>
      </c>
      <c r="F34" s="113">
        <f>Data!E$35</f>
        <v>1.1402881373250229</v>
      </c>
      <c r="G34" s="113">
        <f>Data!F$35</f>
        <v>1.171554102380709</v>
      </c>
      <c r="H34" s="113">
        <f>Data!G$35</f>
        <v>1.1958720752017984</v>
      </c>
      <c r="I34" s="113">
        <f>Data!H$35</f>
        <v>1.2220292224379279</v>
      </c>
      <c r="J34" s="113">
        <f>Data!I$35</f>
        <v>1.3448452028200675</v>
      </c>
      <c r="K34" s="113">
        <f>Data!J$35</f>
        <v>1.5109267395524675</v>
      </c>
      <c r="N34" s="226"/>
    </row>
    <row r="35" spans="2:14" s="31" customFormat="1">
      <c r="B35" s="37" t="s">
        <v>360</v>
      </c>
      <c r="C35" s="268" t="s">
        <v>127</v>
      </c>
      <c r="D35" s="113">
        <f>Data!C$34</f>
        <v>1.0603167467048125</v>
      </c>
      <c r="E35" s="114">
        <f>Data!D$34</f>
        <v>1.0830366813119445</v>
      </c>
      <c r="F35" s="114">
        <f>Data!E$34</f>
        <v>1.1235639113109226</v>
      </c>
      <c r="G35" s="114">
        <f>Data!F$34</f>
        <v>1.1578951670583426</v>
      </c>
      <c r="H35" s="114">
        <f>Data!G$34</f>
        <v>1.1878696229692449</v>
      </c>
      <c r="I35" s="114">
        <f>Data!H$34</f>
        <v>1.2022764892203943</v>
      </c>
      <c r="J35" s="114">
        <f>Data!I$34</f>
        <v>1.2717196280780627</v>
      </c>
      <c r="K35" s="115">
        <f>Data!J$34</f>
        <v>1.4354429345049555</v>
      </c>
      <c r="L35" s="235"/>
      <c r="N35" s="213"/>
    </row>
    <row r="36" spans="2:14" s="31" customFormat="1">
      <c r="B36" s="172" t="s">
        <v>493</v>
      </c>
      <c r="C36" s="268" t="s">
        <v>127</v>
      </c>
      <c r="D36" s="871">
        <f>INDEX(Data!$F$14:$F$30,MATCH($D$6-1,Data!$C$14:$C$30,0),0)/IF('RFPR cover'!$C$6="ED1",Data!$E$17,Data!$E$14)</f>
        <v>1.0526208235414325</v>
      </c>
      <c r="E36" s="872"/>
      <c r="F36" s="872"/>
      <c r="G36" s="872"/>
      <c r="H36" s="872"/>
      <c r="I36" s="872"/>
      <c r="J36" s="872"/>
      <c r="K36" s="872"/>
      <c r="L36" s="235"/>
      <c r="N36" s="213"/>
    </row>
    <row r="37" spans="2:14" s="35" customFormat="1">
      <c r="B37" s="51"/>
      <c r="C37" s="479"/>
      <c r="D37" s="480"/>
      <c r="E37" s="480"/>
      <c r="F37" s="480"/>
      <c r="G37" s="480"/>
      <c r="H37" s="480"/>
      <c r="I37" s="480"/>
      <c r="J37" s="480"/>
      <c r="K37" s="480"/>
      <c r="N37" s="226"/>
    </row>
    <row r="38" spans="2:14" s="2" customFormat="1">
      <c r="B38" s="12" t="s">
        <v>332</v>
      </c>
      <c r="C38" s="267" t="s">
        <v>128</v>
      </c>
      <c r="D38" s="729">
        <f t="shared" ref="D38:K38" si="8">D29*D34</f>
        <v>1643.1794947783794</v>
      </c>
      <c r="E38" s="729">
        <f t="shared" si="8"/>
        <v>1700.1022394053609</v>
      </c>
      <c r="F38" s="729">
        <f t="shared" si="8"/>
        <v>1772.5529344361084</v>
      </c>
      <c r="G38" s="729">
        <f t="shared" si="8"/>
        <v>1833.2949983047802</v>
      </c>
      <c r="H38" s="729">
        <f t="shared" si="8"/>
        <v>1890.3465989659446</v>
      </c>
      <c r="I38" s="729">
        <f t="shared" si="8"/>
        <v>1958.1972141187948</v>
      </c>
      <c r="J38" s="729">
        <f t="shared" si="8"/>
        <v>2194.9234422112181</v>
      </c>
      <c r="K38" s="729">
        <f t="shared" si="8"/>
        <v>2492.7881463103504</v>
      </c>
      <c r="N38" s="130"/>
    </row>
    <row r="39" spans="2:14" s="2" customFormat="1">
      <c r="B39" s="12"/>
      <c r="C39" s="211"/>
      <c r="D39" s="211"/>
      <c r="E39" s="211"/>
      <c r="F39" s="211"/>
      <c r="G39" s="211"/>
      <c r="H39" s="211"/>
      <c r="I39" s="211"/>
      <c r="J39" s="211"/>
      <c r="K39" s="211"/>
      <c r="N39" s="130"/>
    </row>
    <row r="40" spans="2:14" s="2" customFormat="1">
      <c r="B40" s="507" t="s">
        <v>335</v>
      </c>
      <c r="C40" s="211" t="s">
        <v>338</v>
      </c>
      <c r="D40" s="410">
        <f>INDEX(Data!$K$73:$T$100,MATCH('RFPR cover'!$C$5,Data!$B$73:$B$100,0),MATCH('R9 - RAV'!D$6,Data!$K$72:$T$72,0))</f>
        <v>2.5499999999999998E-2</v>
      </c>
      <c r="E40" s="411">
        <f>INDEX(Data!$K$73:$T$100,MATCH('RFPR cover'!$C$5,Data!$B$73:$B$100,0),MATCH('R9 - RAV'!E$6,Data!$K$72:$T$72,0))</f>
        <v>2.4199999999999999E-2</v>
      </c>
      <c r="F40" s="411">
        <f>INDEX(Data!$K$73:$T$100,MATCH('RFPR cover'!$C$5,Data!$B$73:$B$100,0),MATCH('R9 - RAV'!F$6,Data!$K$72:$T$72,0))</f>
        <v>2.29E-2</v>
      </c>
      <c r="G40" s="411">
        <f>INDEX(Data!$K$73:$T$100,MATCH('RFPR cover'!$C$5,Data!$B$73:$B$100,0),MATCH('R9 - RAV'!G$6,Data!$K$72:$T$72,0))</f>
        <v>2.0899999999999998E-2</v>
      </c>
      <c r="H40" s="411">
        <f>INDEX(Data!$K$73:$T$100,MATCH('RFPR cover'!$C$5,Data!$B$73:$B$100,0),MATCH('R9 - RAV'!H$6,Data!$K$72:$T$72,0))</f>
        <v>1.9400000000000001E-2</v>
      </c>
      <c r="I40" s="411">
        <f>INDEX(Data!$K$73:$T$100,MATCH('RFPR cover'!$C$5,Data!$B$73:$B$100,0),MATCH('R9 - RAV'!I$6,Data!$K$72:$T$72,0))</f>
        <v>1.78E-2</v>
      </c>
      <c r="J40" s="411">
        <f>INDEX(Data!$K$73:$T$100,MATCH('RFPR cover'!$C$5,Data!$B$73:$B$100,0),MATCH('R9 - RAV'!J$6,Data!$K$72:$T$72,0))</f>
        <v>1.6199999999999999E-2</v>
      </c>
      <c r="K40" s="412">
        <f>INDEX(Data!$K$73:$T$100,MATCH('RFPR cover'!$C$5,Data!$B$73:$B$100,0),MATCH('R9 - RAV'!K$6,Data!$K$72:$T$72,0))</f>
        <v>1.44E-2</v>
      </c>
      <c r="N40" s="130"/>
    </row>
    <row r="41" spans="2:14" s="2" customFormat="1">
      <c r="B41" s="507" t="s">
        <v>336</v>
      </c>
      <c r="C41" s="211" t="s">
        <v>338</v>
      </c>
      <c r="D41" s="413">
        <f>'RFPR cover'!$C$10</f>
        <v>0.06</v>
      </c>
      <c r="E41" s="414">
        <f>'RFPR cover'!$C$10</f>
        <v>0.06</v>
      </c>
      <c r="F41" s="414">
        <f>'RFPR cover'!$C$10</f>
        <v>0.06</v>
      </c>
      <c r="G41" s="414">
        <f>'RFPR cover'!$C$10</f>
        <v>0.06</v>
      </c>
      <c r="H41" s="414">
        <f>'RFPR cover'!$C$10</f>
        <v>0.06</v>
      </c>
      <c r="I41" s="414">
        <f>'RFPR cover'!$C$10</f>
        <v>0.06</v>
      </c>
      <c r="J41" s="414">
        <f>'RFPR cover'!$C$10</f>
        <v>0.06</v>
      </c>
      <c r="K41" s="415">
        <f>'RFPR cover'!$C$10</f>
        <v>0.06</v>
      </c>
      <c r="N41" s="130"/>
    </row>
    <row r="42" spans="2:14" s="2" customFormat="1">
      <c r="B42" s="507" t="s">
        <v>337</v>
      </c>
      <c r="C42" s="211" t="s">
        <v>7</v>
      </c>
      <c r="D42" s="416">
        <f>'RFPR cover'!$C$12</f>
        <v>0.65</v>
      </c>
      <c r="E42" s="417">
        <f>'RFPR cover'!$C$12</f>
        <v>0.65</v>
      </c>
      <c r="F42" s="417">
        <f>'RFPR cover'!$C$12</f>
        <v>0.65</v>
      </c>
      <c r="G42" s="417">
        <f>'RFPR cover'!$C$12</f>
        <v>0.65</v>
      </c>
      <c r="H42" s="417">
        <f>'RFPR cover'!$C$12</f>
        <v>0.65</v>
      </c>
      <c r="I42" s="417">
        <f>'RFPR cover'!$C$12</f>
        <v>0.65</v>
      </c>
      <c r="J42" s="417">
        <f>'RFPR cover'!$C$12</f>
        <v>0.65</v>
      </c>
      <c r="K42" s="418">
        <f>'RFPR cover'!$C$12</f>
        <v>0.65</v>
      </c>
      <c r="N42" s="130"/>
    </row>
    <row r="43" spans="2:14">
      <c r="B43" s="201" t="s">
        <v>271</v>
      </c>
      <c r="C43" s="398" t="s">
        <v>338</v>
      </c>
      <c r="D43" s="407">
        <f t="shared" ref="D43:K43" si="9">D40*D42+D41*(1-D42)</f>
        <v>3.7574999999999997E-2</v>
      </c>
      <c r="E43" s="408">
        <f t="shared" si="9"/>
        <v>3.6729999999999999E-2</v>
      </c>
      <c r="F43" s="408">
        <f t="shared" si="9"/>
        <v>3.5885E-2</v>
      </c>
      <c r="G43" s="408">
        <f t="shared" si="9"/>
        <v>3.4584999999999998E-2</v>
      </c>
      <c r="H43" s="408">
        <f t="shared" si="9"/>
        <v>3.3610000000000001E-2</v>
      </c>
      <c r="I43" s="408">
        <f t="shared" si="9"/>
        <v>3.2570000000000002E-2</v>
      </c>
      <c r="J43" s="408">
        <f t="shared" si="9"/>
        <v>3.1529999999999996E-2</v>
      </c>
      <c r="K43" s="409">
        <f t="shared" si="9"/>
        <v>3.0359999999999998E-2</v>
      </c>
      <c r="L43" s="212"/>
    </row>
    <row r="44" spans="2:14">
      <c r="C44" s="224"/>
      <c r="D44" s="219"/>
      <c r="E44" s="219"/>
      <c r="F44" s="219"/>
      <c r="G44" s="219"/>
      <c r="H44" s="219"/>
      <c r="I44" s="219"/>
      <c r="J44" s="219"/>
      <c r="K44" s="219"/>
    </row>
    <row r="45" spans="2:14">
      <c r="B45" s="373" t="s">
        <v>339</v>
      </c>
      <c r="C45" s="398" t="str">
        <f>'RFPR cover'!$C$14</f>
        <v>£m 12/13</v>
      </c>
      <c r="D45" s="96">
        <f t="shared" ref="D45:K45" si="10">D47*D42</f>
        <v>978.06182895660538</v>
      </c>
      <c r="E45" s="97">
        <f t="shared" si="10"/>
        <v>983.20929293163806</v>
      </c>
      <c r="F45" s="97">
        <f t="shared" si="10"/>
        <v>988.50451767091761</v>
      </c>
      <c r="G45" s="97">
        <f t="shared" si="10"/>
        <v>996.77743889488602</v>
      </c>
      <c r="H45" s="97">
        <f t="shared" si="10"/>
        <v>1005.603959316276</v>
      </c>
      <c r="I45" s="97">
        <f t="shared" si="10"/>
        <v>1018.0938362994858</v>
      </c>
      <c r="J45" s="97">
        <f t="shared" si="10"/>
        <v>1035.0042188774257</v>
      </c>
      <c r="K45" s="98">
        <f t="shared" si="10"/>
        <v>1050.831740696151</v>
      </c>
    </row>
    <row r="46" spans="2:14">
      <c r="B46" s="373" t="s">
        <v>231</v>
      </c>
      <c r="C46" s="398" t="str">
        <f>'RFPR cover'!$C$14</f>
        <v>£m 12/13</v>
      </c>
      <c r="D46" s="522">
        <f t="shared" ref="D46:K46" si="11">D47*(1-D42)</f>
        <v>526.64867713047977</v>
      </c>
      <c r="E46" s="523">
        <f t="shared" si="11"/>
        <v>529.42038850165125</v>
      </c>
      <c r="F46" s="523">
        <f t="shared" si="11"/>
        <v>532.27166336126322</v>
      </c>
      <c r="G46" s="523">
        <f t="shared" si="11"/>
        <v>536.72631325109251</v>
      </c>
      <c r="H46" s="523">
        <f t="shared" si="11"/>
        <v>541.4790550164563</v>
      </c>
      <c r="I46" s="523">
        <f t="shared" si="11"/>
        <v>548.20437339203079</v>
      </c>
      <c r="J46" s="523">
        <f t="shared" si="11"/>
        <v>557.30996401092148</v>
      </c>
      <c r="K46" s="524">
        <f t="shared" si="11"/>
        <v>565.83247575946586</v>
      </c>
    </row>
    <row r="47" spans="2:14">
      <c r="B47" s="201" t="s">
        <v>230</v>
      </c>
      <c r="C47" s="211" t="str">
        <f>'RFPR cover'!$C$14</f>
        <v>£m 12/13</v>
      </c>
      <c r="D47" s="103">
        <f t="shared" ref="D47:K47" si="12">AVERAGE(D16,D29*(1/(1+D43)))</f>
        <v>1504.7105060870852</v>
      </c>
      <c r="E47" s="104">
        <f t="shared" si="12"/>
        <v>1512.6296814332893</v>
      </c>
      <c r="F47" s="104">
        <f t="shared" si="12"/>
        <v>1520.7761810321808</v>
      </c>
      <c r="G47" s="104">
        <f t="shared" si="12"/>
        <v>1533.5037521459785</v>
      </c>
      <c r="H47" s="104">
        <f t="shared" si="12"/>
        <v>1547.0830143327323</v>
      </c>
      <c r="I47" s="104">
        <f t="shared" si="12"/>
        <v>1566.2982096915166</v>
      </c>
      <c r="J47" s="104">
        <f t="shared" si="12"/>
        <v>1592.3141828883472</v>
      </c>
      <c r="K47" s="105">
        <f t="shared" si="12"/>
        <v>1616.664216455617</v>
      </c>
      <c r="N47" s="215"/>
    </row>
    <row r="48" spans="2:14">
      <c r="B48" s="201"/>
      <c r="C48" s="211"/>
      <c r="D48" s="211"/>
      <c r="E48" s="211"/>
      <c r="F48" s="211"/>
      <c r="G48" s="211"/>
      <c r="H48" s="211"/>
      <c r="I48" s="211"/>
      <c r="J48" s="211"/>
      <c r="K48" s="211"/>
      <c r="N48" s="215"/>
    </row>
    <row r="49" spans="2:14">
      <c r="B49" s="373" t="s">
        <v>340</v>
      </c>
      <c r="C49" s="398" t="str">
        <f>'RFPR cover'!$C$14</f>
        <v>£m 12/13</v>
      </c>
      <c r="D49" s="732">
        <f>D40*D45</f>
        <v>24.940576638393434</v>
      </c>
      <c r="E49" s="733">
        <f t="shared" ref="D49:K50" si="13">E40*E45</f>
        <v>23.793664888945642</v>
      </c>
      <c r="F49" s="733">
        <f t="shared" si="13"/>
        <v>22.636753454664014</v>
      </c>
      <c r="G49" s="733">
        <f t="shared" si="13"/>
        <v>20.832648472903116</v>
      </c>
      <c r="H49" s="733">
        <f t="shared" si="13"/>
        <v>19.508716810735756</v>
      </c>
      <c r="I49" s="733">
        <f t="shared" si="13"/>
        <v>18.122070286130846</v>
      </c>
      <c r="J49" s="733">
        <f t="shared" si="13"/>
        <v>16.767068345814295</v>
      </c>
      <c r="K49" s="734">
        <f t="shared" si="13"/>
        <v>15.131977066024573</v>
      </c>
    </row>
    <row r="50" spans="2:14">
      <c r="B50" s="373" t="s">
        <v>228</v>
      </c>
      <c r="C50" s="398" t="str">
        <f>'RFPR cover'!$C$14</f>
        <v>£m 12/13</v>
      </c>
      <c r="D50" s="93">
        <f t="shared" si="13"/>
        <v>31.598920627828786</v>
      </c>
      <c r="E50" s="94">
        <f t="shared" si="13"/>
        <v>31.765223310099074</v>
      </c>
      <c r="F50" s="94">
        <f t="shared" si="13"/>
        <v>31.936299801675791</v>
      </c>
      <c r="G50" s="94">
        <f t="shared" si="13"/>
        <v>32.203578795065546</v>
      </c>
      <c r="H50" s="94">
        <f t="shared" si="13"/>
        <v>32.48874330098738</v>
      </c>
      <c r="I50" s="94">
        <f t="shared" si="13"/>
        <v>32.892262403521848</v>
      </c>
      <c r="J50" s="94">
        <f t="shared" si="13"/>
        <v>33.438597840655291</v>
      </c>
      <c r="K50" s="95">
        <f t="shared" si="13"/>
        <v>33.949948545567949</v>
      </c>
      <c r="N50" s="215"/>
    </row>
    <row r="51" spans="2:14">
      <c r="B51" s="201" t="s">
        <v>342</v>
      </c>
      <c r="C51" s="398" t="str">
        <f>'RFPR cover'!$C$14</f>
        <v>£m 12/13</v>
      </c>
      <c r="D51" s="103">
        <f>SUM(D49:D50)</f>
        <v>56.53949726622222</v>
      </c>
      <c r="E51" s="104">
        <f t="shared" ref="E51:K51" si="14">SUM(E49:E50)</f>
        <v>55.558888199044716</v>
      </c>
      <c r="F51" s="104">
        <f t="shared" si="14"/>
        <v>54.573053256339804</v>
      </c>
      <c r="G51" s="104">
        <f t="shared" si="14"/>
        <v>53.036227267968663</v>
      </c>
      <c r="H51" s="104">
        <f t="shared" si="14"/>
        <v>51.997460111723136</v>
      </c>
      <c r="I51" s="104">
        <f t="shared" si="14"/>
        <v>51.01433268965269</v>
      </c>
      <c r="J51" s="104">
        <f t="shared" si="14"/>
        <v>50.205666186469585</v>
      </c>
      <c r="K51" s="105">
        <f t="shared" si="14"/>
        <v>49.081925611592524</v>
      </c>
      <c r="N51" s="215"/>
    </row>
    <row r="53" spans="2:14" s="31" customFormat="1">
      <c r="B53" s="373" t="s">
        <v>339</v>
      </c>
      <c r="C53" s="267" t="s">
        <v>128</v>
      </c>
      <c r="D53" s="96">
        <f t="shared" ref="D53:K54" si="15">D$35*D45</f>
        <v>1037.0553365554265</v>
      </c>
      <c r="E53" s="97">
        <f t="shared" si="15"/>
        <v>1064.8517296517448</v>
      </c>
      <c r="F53" s="97">
        <f t="shared" si="15"/>
        <v>1110.6480022228532</v>
      </c>
      <c r="G53" s="97">
        <f t="shared" si="15"/>
        <v>1154.163779129181</v>
      </c>
      <c r="H53" s="97">
        <f t="shared" si="15"/>
        <v>1194.5263960094046</v>
      </c>
      <c r="I53" s="97">
        <f t="shared" si="15"/>
        <v>1224.0302832030686</v>
      </c>
      <c r="J53" s="97">
        <f t="shared" si="15"/>
        <v>1316.2351802900257</v>
      </c>
      <c r="K53" s="98">
        <f t="shared" si="15"/>
        <v>1508.4089975358334</v>
      </c>
      <c r="L53" s="235"/>
      <c r="N53" s="213"/>
    </row>
    <row r="54" spans="2:14" s="31" customFormat="1">
      <c r="B54" s="373" t="s">
        <v>231</v>
      </c>
      <c r="C54" s="267" t="s">
        <v>128</v>
      </c>
      <c r="D54" s="522">
        <f t="shared" si="15"/>
        <v>558.41441199138353</v>
      </c>
      <c r="E54" s="523">
        <f t="shared" si="15"/>
        <v>573.38170058170874</v>
      </c>
      <c r="F54" s="523">
        <f t="shared" si="15"/>
        <v>598.0412319661516</v>
      </c>
      <c r="G54" s="523">
        <f t="shared" si="15"/>
        <v>621.47280414648208</v>
      </c>
      <c r="H54" s="523">
        <f t="shared" si="15"/>
        <v>643.206520928141</v>
      </c>
      <c r="I54" s="523">
        <f t="shared" si="15"/>
        <v>659.09322941703692</v>
      </c>
      <c r="J54" s="523">
        <f t="shared" si="15"/>
        <v>708.74202015616754</v>
      </c>
      <c r="K54" s="524">
        <f t="shared" si="15"/>
        <v>812.22022944237176</v>
      </c>
      <c r="L54" s="235"/>
      <c r="N54" s="213"/>
    </row>
    <row r="55" spans="2:14">
      <c r="B55" s="201" t="s">
        <v>341</v>
      </c>
      <c r="C55" s="267" t="s">
        <v>128</v>
      </c>
      <c r="D55" s="735">
        <f>SUM(D53:D54)</f>
        <v>1595.46974854681</v>
      </c>
      <c r="E55" s="736">
        <f t="shared" ref="E55:K55" si="16">SUM(E53:E54)</f>
        <v>1638.2334302334534</v>
      </c>
      <c r="F55" s="736">
        <f t="shared" si="16"/>
        <v>1708.6892341890048</v>
      </c>
      <c r="G55" s="736">
        <f t="shared" si="16"/>
        <v>1775.636583275663</v>
      </c>
      <c r="H55" s="736">
        <f t="shared" si="16"/>
        <v>1837.7329169375457</v>
      </c>
      <c r="I55" s="736">
        <f t="shared" si="16"/>
        <v>1883.1235126201054</v>
      </c>
      <c r="J55" s="736">
        <f t="shared" si="16"/>
        <v>2024.9772004461934</v>
      </c>
      <c r="K55" s="737">
        <f t="shared" si="16"/>
        <v>2320.6292269782052</v>
      </c>
    </row>
    <row r="56" spans="2:14" s="31" customFormat="1">
      <c r="B56" s="201"/>
      <c r="C56" s="211"/>
      <c r="D56" s="211"/>
      <c r="E56" s="211"/>
      <c r="F56" s="211"/>
      <c r="G56" s="211"/>
      <c r="H56" s="211"/>
      <c r="I56" s="211"/>
      <c r="J56" s="211"/>
      <c r="K56" s="211"/>
      <c r="L56" s="235"/>
      <c r="N56" s="213"/>
    </row>
    <row r="57" spans="2:14" s="31" customFormat="1">
      <c r="B57" s="373" t="s">
        <v>340</v>
      </c>
      <c r="C57" s="267" t="s">
        <v>128</v>
      </c>
      <c r="D57" s="96">
        <f t="shared" ref="D57:K58" si="17">D$35*D49</f>
        <v>26.444911082163372</v>
      </c>
      <c r="E57" s="97">
        <f t="shared" si="17"/>
        <v>25.769411857572226</v>
      </c>
      <c r="F57" s="97">
        <f t="shared" si="17"/>
        <v>25.43383925090334</v>
      </c>
      <c r="G57" s="97">
        <f t="shared" si="17"/>
        <v>24.12202298379988</v>
      </c>
      <c r="H57" s="97">
        <f t="shared" si="17"/>
        <v>23.173812082582451</v>
      </c>
      <c r="I57" s="97">
        <f t="shared" si="17"/>
        <v>21.787739041014621</v>
      </c>
      <c r="J57" s="97">
        <f t="shared" si="17"/>
        <v>21.323009920698414</v>
      </c>
      <c r="K57" s="98">
        <f t="shared" si="17"/>
        <v>21.721089564515999</v>
      </c>
      <c r="L57" s="235"/>
      <c r="N57" s="213"/>
    </row>
    <row r="58" spans="2:14">
      <c r="B58" s="373" t="s">
        <v>237</v>
      </c>
      <c r="C58" s="267" t="s">
        <v>128</v>
      </c>
      <c r="D58" s="738">
        <f t="shared" si="17"/>
        <v>33.50486471948301</v>
      </c>
      <c r="E58" s="739">
        <f t="shared" si="17"/>
        <v>34.402902034902525</v>
      </c>
      <c r="F58" s="739">
        <f t="shared" si="17"/>
        <v>35.882473917969094</v>
      </c>
      <c r="G58" s="739">
        <f t="shared" si="17"/>
        <v>37.28836824878892</v>
      </c>
      <c r="H58" s="739">
        <f t="shared" si="17"/>
        <v>38.592391255688462</v>
      </c>
      <c r="I58" s="739">
        <f t="shared" si="17"/>
        <v>39.545593765022218</v>
      </c>
      <c r="J58" s="739">
        <f t="shared" si="17"/>
        <v>42.524521209370057</v>
      </c>
      <c r="K58" s="740">
        <f t="shared" si="17"/>
        <v>48.733213766542306</v>
      </c>
    </row>
    <row r="59" spans="2:14">
      <c r="B59" s="201" t="s">
        <v>342</v>
      </c>
      <c r="C59" s="267" t="s">
        <v>128</v>
      </c>
      <c r="D59" s="103">
        <f t="shared" ref="D59:K59" si="18">SUM(D57:D58)</f>
        <v>59.949775801646382</v>
      </c>
      <c r="E59" s="104">
        <f t="shared" si="18"/>
        <v>60.172313892474747</v>
      </c>
      <c r="F59" s="104">
        <f t="shared" si="18"/>
        <v>61.316313168872433</v>
      </c>
      <c r="G59" s="104">
        <f t="shared" si="18"/>
        <v>61.4103912325888</v>
      </c>
      <c r="H59" s="104">
        <f t="shared" si="18"/>
        <v>61.766203338270913</v>
      </c>
      <c r="I59" s="104">
        <f t="shared" si="18"/>
        <v>61.333332806036836</v>
      </c>
      <c r="J59" s="104">
        <f t="shared" si="18"/>
        <v>63.847531130068475</v>
      </c>
      <c r="K59" s="105">
        <f t="shared" si="18"/>
        <v>70.454303331058298</v>
      </c>
    </row>
    <row r="60" spans="2:14">
      <c r="B60" s="14"/>
      <c r="C60" s="236"/>
      <c r="D60" s="236"/>
      <c r="E60" s="236"/>
      <c r="F60" s="236"/>
      <c r="G60" s="236"/>
      <c r="H60" s="236"/>
      <c r="I60" s="236"/>
      <c r="J60" s="236"/>
      <c r="K60" s="236"/>
    </row>
    <row r="61" spans="2:14">
      <c r="B61" s="14"/>
      <c r="C61" s="236"/>
      <c r="D61" s="236"/>
      <c r="E61" s="236"/>
      <c r="F61" s="236"/>
      <c r="G61" s="236"/>
      <c r="H61" s="236"/>
      <c r="I61" s="236"/>
      <c r="J61" s="236"/>
      <c r="K61" s="236"/>
    </row>
    <row r="62" spans="2:14">
      <c r="B62" s="14"/>
      <c r="C62" s="236"/>
      <c r="D62" s="236"/>
      <c r="E62" s="236"/>
      <c r="F62" s="236"/>
      <c r="G62" s="236"/>
      <c r="H62" s="236"/>
      <c r="I62" s="236"/>
      <c r="J62" s="236"/>
      <c r="K62" s="236"/>
    </row>
    <row r="63" spans="2:14">
      <c r="B63" s="14"/>
      <c r="C63" s="236"/>
      <c r="D63" s="236"/>
      <c r="E63" s="236"/>
      <c r="F63" s="236"/>
      <c r="G63" s="236"/>
      <c r="H63" s="236"/>
      <c r="I63" s="236"/>
      <c r="J63" s="236"/>
      <c r="K63" s="236"/>
    </row>
  </sheetData>
  <conditionalFormatting sqref="D6:K6">
    <cfRule type="expression" dxfId="24" priority="13">
      <formula>AND(D$5="Actuals",E$5="Forecast")</formula>
    </cfRule>
  </conditionalFormatting>
  <conditionalFormatting sqref="D5:K5">
    <cfRule type="expression" dxfId="23"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zoomScale="80" zoomScaleNormal="80" workbookViewId="0">
      <pane ySplit="6" topLeftCell="A55" activePane="bottomLeft" state="frozen"/>
      <selection activeCell="B75" sqref="A1:XFD1048576"/>
      <selection pane="bottomLeft" activeCell="K88" sqref="K88"/>
    </sheetView>
  </sheetViews>
  <sheetFormatPr defaultRowHeight="12.75"/>
  <cols>
    <col min="1" max="1" width="8.375" customWidth="1"/>
    <col min="2" max="2" width="95.5" customWidth="1"/>
    <col min="3" max="3" width="14.125" customWidth="1"/>
    <col min="4" max="11" width="11.125" customWidth="1"/>
    <col min="12" max="12" width="5" customWidth="1"/>
  </cols>
  <sheetData>
    <row r="1" spans="1:13" s="31" customFormat="1" ht="20.25">
      <c r="A1" s="925" t="s">
        <v>259</v>
      </c>
      <c r="B1" s="921"/>
      <c r="C1" s="257"/>
      <c r="D1" s="257"/>
      <c r="E1" s="257"/>
      <c r="F1" s="257"/>
      <c r="G1" s="257"/>
      <c r="H1" s="257"/>
      <c r="I1" s="258"/>
      <c r="J1" s="258"/>
      <c r="K1" s="259"/>
      <c r="L1" s="260"/>
    </row>
    <row r="2" spans="1:13" s="31" customFormat="1" ht="20.25">
      <c r="A2" s="914" t="str">
        <f>'RFPR cover'!C5</f>
        <v>ENWL</v>
      </c>
      <c r="B2" s="906"/>
      <c r="C2" s="29"/>
      <c r="D2" s="29"/>
      <c r="E2" s="29"/>
      <c r="F2" s="29"/>
      <c r="G2" s="29"/>
      <c r="H2" s="29"/>
      <c r="I2" s="27"/>
      <c r="J2" s="27"/>
      <c r="K2" s="27"/>
      <c r="L2" s="124"/>
    </row>
    <row r="3" spans="1:13" s="31" customFormat="1" ht="20.25">
      <c r="A3" s="917">
        <f>'RFPR cover'!C7</f>
        <v>2023</v>
      </c>
      <c r="B3" s="924"/>
      <c r="C3" s="261"/>
      <c r="D3" s="261"/>
      <c r="E3" s="261"/>
      <c r="F3" s="261"/>
      <c r="G3" s="261"/>
      <c r="H3" s="261"/>
      <c r="I3" s="256"/>
      <c r="J3" s="256"/>
      <c r="K3" s="256"/>
      <c r="L3" s="262"/>
    </row>
    <row r="4" spans="1:13" s="31" customFormat="1" ht="12.75" customHeight="1">
      <c r="A4" s="263"/>
      <c r="B4" s="264"/>
      <c r="C4" s="263"/>
      <c r="D4" s="263"/>
      <c r="E4" s="263"/>
      <c r="F4" s="263"/>
      <c r="G4" s="263"/>
      <c r="H4" s="263"/>
      <c r="I4" s="265"/>
      <c r="J4" s="265"/>
      <c r="K4" s="265"/>
      <c r="L4" s="266"/>
      <c r="M4" s="264"/>
    </row>
    <row r="5" spans="1:13" s="2" customFormat="1">
      <c r="B5" s="3"/>
      <c r="C5" s="3"/>
      <c r="D5" s="391" t="str">
        <f>IF(D6&lt;=('RFPR cover'!$C$7-1),"Actuals","Forecast")</f>
        <v>Actuals</v>
      </c>
      <c r="E5" s="391" t="str">
        <f>IF(E6&lt;=('RFPR cover'!$C$7-1),"Actuals","Forecast")</f>
        <v>Actuals</v>
      </c>
      <c r="F5" s="391" t="str">
        <f>IF(F6&lt;=('RFPR cover'!$C$7-1),"Actuals","Forecast")</f>
        <v>Actuals</v>
      </c>
      <c r="G5" s="391" t="str">
        <f>IF(G6&lt;=('RFPR cover'!$C$7-1),"Actuals","Forecast")</f>
        <v>Actuals</v>
      </c>
      <c r="H5" s="391" t="str">
        <f>IF(H6&lt;=('RFPR cover'!$C$7-1),"Actuals","Forecast")</f>
        <v>Actuals</v>
      </c>
      <c r="I5" s="391" t="str">
        <f>IF(I6&lt;=('RFPR cover'!$C$7-1),"Actuals","Forecast")</f>
        <v>Actuals</v>
      </c>
      <c r="J5" s="391" t="str">
        <f>IF(J6&lt;=('RFPR cover'!$C$7-1),"Actuals","Forecast")</f>
        <v>Actuals</v>
      </c>
      <c r="K5" s="391" t="str">
        <f>IF(K6&lt;=('RFPR cover'!$C$7-1),"Actuals","Forecast")</f>
        <v>Forecast</v>
      </c>
    </row>
    <row r="6" spans="1:13"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3" s="35" customFormat="1">
      <c r="D7" s="431"/>
      <c r="E7" s="431"/>
      <c r="F7" s="431"/>
      <c r="G7" s="431"/>
      <c r="H7" s="431"/>
      <c r="I7" s="431"/>
      <c r="J7" s="431"/>
      <c r="K7" s="431"/>
    </row>
    <row r="8" spans="1:13" s="2" customFormat="1">
      <c r="B8" s="370" t="s">
        <v>350</v>
      </c>
      <c r="C8" s="294"/>
      <c r="D8" s="294"/>
      <c r="E8" s="294"/>
      <c r="F8" s="294"/>
      <c r="G8" s="294"/>
      <c r="H8" s="294"/>
      <c r="I8" s="294"/>
      <c r="J8" s="294"/>
      <c r="K8" s="294"/>
      <c r="L8" s="294"/>
    </row>
    <row r="9" spans="1:13" s="2" customFormat="1">
      <c r="B9" s="370" t="s">
        <v>455</v>
      </c>
      <c r="C9" s="294"/>
      <c r="D9" s="294"/>
      <c r="E9" s="294"/>
      <c r="F9" s="294"/>
      <c r="G9" s="294"/>
      <c r="H9" s="294"/>
      <c r="I9" s="294"/>
      <c r="J9" s="294"/>
      <c r="K9" s="294"/>
      <c r="L9" s="294"/>
    </row>
    <row r="10" spans="1:13" s="2" customFormat="1">
      <c r="B10" s="370" t="s">
        <v>351</v>
      </c>
      <c r="C10" s="294"/>
      <c r="D10" s="294"/>
      <c r="E10" s="294"/>
      <c r="F10" s="294"/>
      <c r="G10" s="294"/>
      <c r="H10" s="294"/>
      <c r="I10" s="294"/>
      <c r="J10" s="294"/>
      <c r="K10" s="294"/>
      <c r="L10" s="294"/>
    </row>
    <row r="11" spans="1:13" s="35" customFormat="1">
      <c r="B11" s="430"/>
    </row>
    <row r="12" spans="1:13">
      <c r="B12" s="200" t="s">
        <v>516</v>
      </c>
      <c r="C12" s="267" t="s">
        <v>128</v>
      </c>
      <c r="D12" s="640">
        <v>30.958269999999999</v>
      </c>
      <c r="E12" s="641">
        <v>33.934068200000006</v>
      </c>
      <c r="F12" s="641">
        <v>20.037819995</v>
      </c>
      <c r="G12" s="641">
        <v>20.265241160000002</v>
      </c>
      <c r="H12" s="641">
        <v>25.62297117</v>
      </c>
      <c r="I12" s="641">
        <v>20.803772980000002</v>
      </c>
      <c r="J12" s="641">
        <v>9.2533716399999992</v>
      </c>
      <c r="K12" s="642"/>
    </row>
    <row r="13" spans="1:13">
      <c r="B13" s="14"/>
      <c r="C13" s="14"/>
      <c r="D13" s="741"/>
      <c r="E13" s="741"/>
      <c r="F13" s="741"/>
      <c r="G13" s="741"/>
      <c r="H13" s="741"/>
      <c r="I13" s="741"/>
      <c r="J13" s="741"/>
      <c r="K13" s="741"/>
    </row>
    <row r="14" spans="1:13">
      <c r="B14" s="14" t="s">
        <v>454</v>
      </c>
      <c r="C14" s="267"/>
      <c r="D14" s="741"/>
      <c r="E14" s="741"/>
      <c r="F14" s="741"/>
      <c r="G14" s="741"/>
      <c r="H14" s="741"/>
      <c r="I14" s="741"/>
      <c r="J14" s="741"/>
      <c r="K14" s="741"/>
    </row>
    <row r="15" spans="1:13">
      <c r="B15" s="371" t="s">
        <v>476</v>
      </c>
      <c r="C15" s="267" t="s">
        <v>128</v>
      </c>
      <c r="D15" s="596">
        <v>0.6685709660000001</v>
      </c>
      <c r="E15" s="597">
        <v>0.6</v>
      </c>
      <c r="F15" s="597">
        <v>0.51604353400000003</v>
      </c>
      <c r="G15" s="597">
        <v>0.47659571689999997</v>
      </c>
      <c r="H15" s="597">
        <v>0.44048630999999999</v>
      </c>
      <c r="I15" s="597">
        <v>0.41423857000000003</v>
      </c>
      <c r="J15" s="597">
        <v>0.40088298169999992</v>
      </c>
      <c r="K15" s="607"/>
    </row>
    <row r="16" spans="1:13">
      <c r="B16" s="432" t="s">
        <v>22</v>
      </c>
      <c r="C16" s="267" t="s">
        <v>128</v>
      </c>
      <c r="D16" s="596">
        <v>0</v>
      </c>
      <c r="E16" s="597">
        <v>0</v>
      </c>
      <c r="F16" s="597">
        <v>0</v>
      </c>
      <c r="G16" s="597">
        <v>0</v>
      </c>
      <c r="H16" s="597">
        <v>0</v>
      </c>
      <c r="I16" s="597">
        <v>0</v>
      </c>
      <c r="J16" s="597">
        <v>0</v>
      </c>
      <c r="K16" s="607"/>
    </row>
    <row r="17" spans="2:12">
      <c r="B17" s="432" t="s">
        <v>22</v>
      </c>
      <c r="C17" s="267" t="s">
        <v>128</v>
      </c>
      <c r="D17" s="596">
        <v>0</v>
      </c>
      <c r="E17" s="597">
        <v>0</v>
      </c>
      <c r="F17" s="597">
        <v>0</v>
      </c>
      <c r="G17" s="597">
        <v>0</v>
      </c>
      <c r="H17" s="597">
        <v>0</v>
      </c>
      <c r="I17" s="597">
        <v>0</v>
      </c>
      <c r="J17" s="597">
        <v>0</v>
      </c>
      <c r="K17" s="607"/>
    </row>
    <row r="18" spans="2:12">
      <c r="B18" s="432" t="s">
        <v>22</v>
      </c>
      <c r="C18" s="267" t="s">
        <v>128</v>
      </c>
      <c r="D18" s="596">
        <v>0</v>
      </c>
      <c r="E18" s="597">
        <v>0</v>
      </c>
      <c r="F18" s="597">
        <v>0</v>
      </c>
      <c r="G18" s="597">
        <v>0</v>
      </c>
      <c r="H18" s="597">
        <v>0</v>
      </c>
      <c r="I18" s="597">
        <v>0</v>
      </c>
      <c r="J18" s="597">
        <v>0</v>
      </c>
      <c r="K18" s="607"/>
    </row>
    <row r="19" spans="2:12">
      <c r="B19" s="269" t="s">
        <v>352</v>
      </c>
      <c r="C19" s="267" t="s">
        <v>128</v>
      </c>
      <c r="D19" s="742">
        <f>SUM(D15:D18)</f>
        <v>0.6685709660000001</v>
      </c>
      <c r="E19" s="743">
        <f t="shared" ref="E19:K19" si="1">SUM(E15:E18)</f>
        <v>0.6</v>
      </c>
      <c r="F19" s="743">
        <f t="shared" si="1"/>
        <v>0.51604353400000003</v>
      </c>
      <c r="G19" s="743">
        <f t="shared" si="1"/>
        <v>0.47659571689999997</v>
      </c>
      <c r="H19" s="743">
        <f t="shared" si="1"/>
        <v>0.44048630999999999</v>
      </c>
      <c r="I19" s="743">
        <f t="shared" si="1"/>
        <v>0.41423857000000003</v>
      </c>
      <c r="J19" s="743">
        <f t="shared" si="1"/>
        <v>0.40088298169999992</v>
      </c>
      <c r="K19" s="744">
        <f t="shared" si="1"/>
        <v>0</v>
      </c>
    </row>
    <row r="20" spans="2:12" s="31" customFormat="1">
      <c r="B20" s="371"/>
      <c r="C20" s="371"/>
      <c r="D20" s="745"/>
      <c r="E20" s="745"/>
      <c r="F20" s="745"/>
      <c r="G20" s="745"/>
      <c r="H20" s="745"/>
      <c r="I20" s="745"/>
      <c r="J20" s="745"/>
      <c r="K20" s="745"/>
      <c r="L20" s="371"/>
    </row>
    <row r="21" spans="2:12">
      <c r="B21" s="14" t="s">
        <v>331</v>
      </c>
      <c r="C21" s="267"/>
      <c r="D21" s="746"/>
      <c r="E21" s="746"/>
      <c r="F21" s="746"/>
      <c r="G21" s="746"/>
      <c r="H21" s="746"/>
      <c r="I21" s="746"/>
      <c r="J21" s="746"/>
      <c r="K21" s="746"/>
      <c r="L21" s="267"/>
    </row>
    <row r="22" spans="2:12">
      <c r="B22" s="371" t="s">
        <v>477</v>
      </c>
      <c r="C22" s="267" t="s">
        <v>128</v>
      </c>
      <c r="D22" s="858">
        <f>('R5 - Output Incentives'!D102)*INDEX(Data!$G$14:$G$30,MATCH('R10 - Tax'!D$6,Data!$C$14:$C$30,0),1)</f>
        <v>1.6789304653169812</v>
      </c>
      <c r="E22" s="859">
        <f>('R5 - Output Incentives'!E102)*INDEX(Data!$G$14:$G$30,MATCH('R10 - Tax'!E$6,Data!$C$14:$C$30,0),1)</f>
        <v>3.163383349274191</v>
      </c>
      <c r="F22" s="859">
        <f>('R5 - Output Incentives'!F102)*INDEX(Data!$G$14:$G$30,MATCH('R10 - Tax'!F$6,Data!$C$14:$C$30,0),1)</f>
        <v>3.2728885421398495</v>
      </c>
      <c r="G22" s="859">
        <f>('R5 - Output Incentives'!G102)*INDEX(Data!$G$14:$G$30,MATCH('R10 - Tax'!G$6,Data!$C$14:$C$30,0),1)</f>
        <v>3.1762425466331616</v>
      </c>
      <c r="H22" s="861">
        <f>('R5 - Output Incentives'!H102)*INDEX(Data!$G$14:$G$30,MATCH('R10 - Tax'!H$6,Data!$C$14:$C$30,0),1)</f>
        <v>3.0080547545441285</v>
      </c>
      <c r="I22" s="861">
        <f>('R5 - Output Incentives'!I102)*INDEX(Data!$G$14:$G$30,MATCH('R10 - Tax'!I$6,Data!$C$14:$C$30,0),1)</f>
        <v>3.2313096716086962</v>
      </c>
      <c r="J22" s="861">
        <f>('R5 - Output Incentives'!J102)*INDEX(Data!$G$14:$G$30,MATCH('R10 - Tax'!J$6,Data!$C$14:$C$30,0),1)</f>
        <v>4.3503916507250642</v>
      </c>
      <c r="K22" s="862">
        <f>('R5 - Output Incentives'!K102)*INDEX(Data!$G$14:$G$30,MATCH('R10 - Tax'!K$6,Data!$C$14:$C$30,0),1)</f>
        <v>4.257861068782133</v>
      </c>
    </row>
    <row r="23" spans="2:12">
      <c r="B23" s="371" t="s">
        <v>478</v>
      </c>
      <c r="C23" s="267" t="s">
        <v>128</v>
      </c>
      <c r="D23" s="600">
        <f>('R4 - Totex'!D77-'R4 - Totex'!D79)*D39</f>
        <v>0</v>
      </c>
      <c r="E23" s="602">
        <f>('R4 - Totex'!E77-'R4 - Totex'!E79)*E39</f>
        <v>0</v>
      </c>
      <c r="F23" s="602">
        <f>('R4 - Totex'!F77-'R4 - Totex'!F79)*F39</f>
        <v>0</v>
      </c>
      <c r="G23" s="602">
        <f>('R4 - Totex'!G77-'R4 - Totex'!G79)*G39</f>
        <v>0</v>
      </c>
      <c r="H23" s="863">
        <f>('R4 - Totex'!H77-'R4 - Totex'!H79)*H39</f>
        <v>0</v>
      </c>
      <c r="I23" s="863">
        <f>('R4 - Totex'!I77-'R4 - Totex'!I79)*I39</f>
        <v>0</v>
      </c>
      <c r="J23" s="863">
        <f>('R4 - Totex'!J77-'R4 - Totex'!J79)*J39</f>
        <v>0</v>
      </c>
      <c r="K23" s="864">
        <f>('R4 - Totex'!K77-'R4 - Totex'!K79)*K39</f>
        <v>0</v>
      </c>
    </row>
    <row r="24" spans="2:12">
      <c r="B24" s="371" t="s">
        <v>479</v>
      </c>
      <c r="C24" s="267" t="s">
        <v>128</v>
      </c>
      <c r="D24" s="598">
        <v>0</v>
      </c>
      <c r="E24" s="599">
        <v>6.116851778692153</v>
      </c>
      <c r="F24" s="599">
        <v>-2.1069385766335977</v>
      </c>
      <c r="G24" s="599">
        <v>-0.79041983531379822</v>
      </c>
      <c r="H24" s="599">
        <v>0.7</v>
      </c>
      <c r="I24" s="599">
        <v>4.7575626323175975E-2</v>
      </c>
      <c r="J24" s="599">
        <v>-1.8994481323705963</v>
      </c>
      <c r="K24" s="608"/>
    </row>
    <row r="25" spans="2:12">
      <c r="B25" s="371" t="s">
        <v>480</v>
      </c>
      <c r="C25" s="267" t="s">
        <v>128</v>
      </c>
      <c r="D25" s="598">
        <v>-1.68673758274159</v>
      </c>
      <c r="E25" s="599">
        <v>-1.1298400791785499</v>
      </c>
      <c r="F25" s="599">
        <v>-2.1358343002691602</v>
      </c>
      <c r="G25" s="599">
        <v>-3.2</v>
      </c>
      <c r="H25" s="599">
        <v>-2.8026765060238183</v>
      </c>
      <c r="I25" s="599">
        <v>-2.3203364489251919</v>
      </c>
      <c r="J25" s="599">
        <v>-2.3509183458320333</v>
      </c>
      <c r="K25" s="608"/>
    </row>
    <row r="26" spans="2:12">
      <c r="B26" s="371" t="s">
        <v>481</v>
      </c>
      <c r="C26" s="267" t="s">
        <v>128</v>
      </c>
      <c r="D26" s="598">
        <v>0</v>
      </c>
      <c r="E26" s="599">
        <v>0</v>
      </c>
      <c r="F26" s="599">
        <v>0</v>
      </c>
      <c r="G26" s="599">
        <v>0</v>
      </c>
      <c r="H26" s="599">
        <v>0</v>
      </c>
      <c r="I26" s="599">
        <v>0</v>
      </c>
      <c r="J26" s="599">
        <v>0</v>
      </c>
      <c r="K26" s="608"/>
    </row>
    <row r="27" spans="2:12">
      <c r="B27" s="371" t="s">
        <v>482</v>
      </c>
      <c r="C27" s="267" t="s">
        <v>128</v>
      </c>
      <c r="D27" s="598">
        <v>0</v>
      </c>
      <c r="E27" s="599">
        <v>0</v>
      </c>
      <c r="F27" s="599">
        <v>0</v>
      </c>
      <c r="G27" s="599">
        <v>0</v>
      </c>
      <c r="H27" s="599">
        <v>0</v>
      </c>
      <c r="I27" s="599">
        <v>0</v>
      </c>
      <c r="J27" s="599">
        <v>0</v>
      </c>
      <c r="K27" s="608"/>
    </row>
    <row r="28" spans="2:12">
      <c r="B28" s="371" t="s">
        <v>557</v>
      </c>
      <c r="C28" s="267" t="s">
        <v>128</v>
      </c>
      <c r="D28" s="598">
        <v>-0.29723833875771533</v>
      </c>
      <c r="E28" s="599">
        <v>0.29985385659623986</v>
      </c>
      <c r="F28" s="599">
        <v>-0.48662701957718113</v>
      </c>
      <c r="G28" s="599">
        <v>-0.90258244381047348</v>
      </c>
      <c r="H28" s="599">
        <v>0.13012858352332302</v>
      </c>
      <c r="I28" s="599">
        <v>0.43426235367483912</v>
      </c>
      <c r="J28" s="599">
        <v>-0.58824289586051037</v>
      </c>
      <c r="K28" s="608"/>
    </row>
    <row r="29" spans="2:12">
      <c r="B29" s="432" t="s">
        <v>644</v>
      </c>
      <c r="C29" s="267" t="s">
        <v>128</v>
      </c>
      <c r="D29" s="598">
        <v>-0.18446567004355818</v>
      </c>
      <c r="E29" s="599">
        <v>-0.14062949206075789</v>
      </c>
      <c r="F29" s="599">
        <v>-0.12358412078999997</v>
      </c>
      <c r="G29" s="599">
        <v>4.5179150000000001E-2</v>
      </c>
      <c r="H29" s="599">
        <v>7.3910000000000003E-2</v>
      </c>
      <c r="I29" s="599">
        <v>5.5491399999999996E-2</v>
      </c>
      <c r="J29" s="599">
        <v>0.42974656</v>
      </c>
      <c r="K29" s="608"/>
    </row>
    <row r="30" spans="2:12">
      <c r="B30" s="432" t="s">
        <v>645</v>
      </c>
      <c r="C30" s="267" t="s">
        <v>128</v>
      </c>
      <c r="D30" s="598">
        <v>3.0746505026519864</v>
      </c>
      <c r="E30" s="599">
        <v>1.0028045968765256</v>
      </c>
      <c r="F30" s="599">
        <v>1.0209567221660452</v>
      </c>
      <c r="G30" s="599">
        <v>1.0925125539329197</v>
      </c>
      <c r="H30" s="599">
        <v>1.1677536760600362</v>
      </c>
      <c r="I30" s="599">
        <v>1.2466845261146093</v>
      </c>
      <c r="J30" s="599">
        <v>1.3293820845415611</v>
      </c>
      <c r="K30" s="608"/>
    </row>
    <row r="31" spans="2:12">
      <c r="B31" s="432" t="s">
        <v>646</v>
      </c>
      <c r="C31" s="267" t="s">
        <v>128</v>
      </c>
      <c r="D31" s="598">
        <v>-0.72165120000000005</v>
      </c>
      <c r="E31" s="599">
        <v>-1.6</v>
      </c>
      <c r="F31" s="599">
        <v>-1.21300579</v>
      </c>
      <c r="G31" s="599">
        <v>-1.83645678</v>
      </c>
      <c r="H31" s="599">
        <v>-1.6</v>
      </c>
      <c r="I31" s="599">
        <v>-0.88916161999999999</v>
      </c>
      <c r="J31" s="599">
        <v>-5.6619999999999999</v>
      </c>
      <c r="K31" s="608"/>
    </row>
    <row r="32" spans="2:12">
      <c r="B32" s="432" t="s">
        <v>647</v>
      </c>
      <c r="C32" s="267" t="s">
        <v>128</v>
      </c>
      <c r="D32" s="598">
        <v>2.54</v>
      </c>
      <c r="E32" s="599">
        <v>-2.1</v>
      </c>
      <c r="F32" s="599">
        <v>4.5409999999999995</v>
      </c>
      <c r="G32" s="599">
        <v>0</v>
      </c>
      <c r="H32" s="599">
        <v>0</v>
      </c>
      <c r="I32" s="599">
        <v>0</v>
      </c>
      <c r="J32" s="599">
        <v>0</v>
      </c>
      <c r="K32" s="608"/>
    </row>
    <row r="33" spans="2:13">
      <c r="B33" s="432" t="s">
        <v>20</v>
      </c>
      <c r="C33" s="267" t="s">
        <v>128</v>
      </c>
      <c r="D33" s="609">
        <v>0</v>
      </c>
      <c r="E33" s="610">
        <v>0</v>
      </c>
      <c r="F33" s="610">
        <v>0</v>
      </c>
      <c r="G33" s="610">
        <v>0</v>
      </c>
      <c r="H33" s="610">
        <v>0</v>
      </c>
      <c r="I33" s="610">
        <v>0</v>
      </c>
      <c r="J33" s="610">
        <v>0</v>
      </c>
      <c r="K33" s="611"/>
    </row>
    <row r="34" spans="2:13">
      <c r="B34" s="14" t="s">
        <v>176</v>
      </c>
      <c r="C34" s="267" t="s">
        <v>128</v>
      </c>
      <c r="D34" s="747">
        <f t="shared" ref="D34:K34" si="2">SUM(D22:D33)</f>
        <v>4.4034881764261034</v>
      </c>
      <c r="E34" s="748">
        <f t="shared" si="2"/>
        <v>5.6124240101998044</v>
      </c>
      <c r="F34" s="748">
        <f t="shared" si="2"/>
        <v>2.7688554570359551</v>
      </c>
      <c r="G34" s="748">
        <f t="shared" si="2"/>
        <v>-2.4155248085581906</v>
      </c>
      <c r="H34" s="748">
        <f t="shared" si="2"/>
        <v>0.67717050810366919</v>
      </c>
      <c r="I34" s="748">
        <f t="shared" si="2"/>
        <v>1.8058255087961288</v>
      </c>
      <c r="J34" s="748">
        <f t="shared" si="2"/>
        <v>-4.3910890787965151</v>
      </c>
      <c r="K34" s="749">
        <f t="shared" si="2"/>
        <v>4.257861068782133</v>
      </c>
    </row>
    <row r="36" spans="2:13" ht="12.75" customHeight="1">
      <c r="B36" s="823" t="s">
        <v>489</v>
      </c>
      <c r="C36" s="267" t="s">
        <v>128</v>
      </c>
      <c r="D36" s="640"/>
      <c r="E36" s="640"/>
      <c r="F36" s="641"/>
      <c r="G36" s="641"/>
      <c r="H36" s="641"/>
      <c r="I36" s="641"/>
      <c r="J36" s="641">
        <v>0</v>
      </c>
      <c r="K36" s="642">
        <v>11.610657828734741</v>
      </c>
    </row>
    <row r="37" spans="2:13" ht="12.75" customHeight="1">
      <c r="B37" s="823" t="s">
        <v>458</v>
      </c>
      <c r="C37" s="267" t="s">
        <v>128</v>
      </c>
      <c r="D37" s="747">
        <f t="shared" ref="D37:K37" si="3">D12+D36-D19-D34</f>
        <v>25.886210857573893</v>
      </c>
      <c r="E37" s="748">
        <f>E12+E36-E19-E34</f>
        <v>27.721644189800202</v>
      </c>
      <c r="F37" s="748">
        <f>F12+F36-F19-F34</f>
        <v>16.752921003964044</v>
      </c>
      <c r="G37" s="748">
        <f>G12+G36-G19-G34</f>
        <v>22.204170251658191</v>
      </c>
      <c r="H37" s="748">
        <f t="shared" si="3"/>
        <v>24.505314351896331</v>
      </c>
      <c r="I37" s="748">
        <f t="shared" si="3"/>
        <v>18.583708901203874</v>
      </c>
      <c r="J37" s="748">
        <f t="shared" si="3"/>
        <v>13.243577737096514</v>
      </c>
      <c r="K37" s="749">
        <f t="shared" si="3"/>
        <v>7.3527967599526081</v>
      </c>
    </row>
    <row r="38" spans="2:13" ht="12.75" customHeight="1">
      <c r="B38" s="483"/>
      <c r="C38" s="267"/>
      <c r="D38" s="267"/>
      <c r="E38" s="267"/>
      <c r="F38" s="267"/>
      <c r="G38" s="267"/>
      <c r="H38" s="267"/>
      <c r="I38" s="267"/>
      <c r="J38" s="267"/>
      <c r="K38" s="267"/>
    </row>
    <row r="39" spans="2:13">
      <c r="B39" s="37" t="s">
        <v>466</v>
      </c>
      <c r="C39" s="268" t="s">
        <v>127</v>
      </c>
      <c r="D39" s="113">
        <f>Data!C$34</f>
        <v>1.0603167467048125</v>
      </c>
      <c r="E39" s="113">
        <f>Data!D$34</f>
        <v>1.0830366813119445</v>
      </c>
      <c r="F39" s="113">
        <f>Data!E$34</f>
        <v>1.1235639113109226</v>
      </c>
      <c r="G39" s="113">
        <f>Data!F$34</f>
        <v>1.1578951670583426</v>
      </c>
      <c r="H39" s="113">
        <f>Data!G$34</f>
        <v>1.1878696229692449</v>
      </c>
      <c r="I39" s="113">
        <f>Data!H$34</f>
        <v>1.2022764892203943</v>
      </c>
      <c r="J39" s="113">
        <f>Data!I$34</f>
        <v>1.2717196280780627</v>
      </c>
      <c r="K39" s="113">
        <f>Data!J$34</f>
        <v>1.4354429345049555</v>
      </c>
      <c r="L39" s="267"/>
    </row>
    <row r="40" spans="2:13">
      <c r="B40" s="200"/>
      <c r="C40" s="267"/>
      <c r="D40" s="267"/>
      <c r="E40" s="267"/>
      <c r="F40" s="267"/>
      <c r="G40" s="267"/>
      <c r="H40" s="267"/>
      <c r="I40" s="267"/>
      <c r="J40" s="267"/>
      <c r="K40" s="267"/>
    </row>
    <row r="41" spans="2:13">
      <c r="B41" s="545" t="s">
        <v>459</v>
      </c>
      <c r="C41" s="398" t="str">
        <f>'RFPR cover'!$C$14</f>
        <v>£m 12/13</v>
      </c>
      <c r="D41" s="788">
        <f t="shared" ref="D41:K41" si="4">D37/D39</f>
        <v>24.413658407283933</v>
      </c>
      <c r="E41" s="789">
        <f t="shared" si="4"/>
        <v>25.596219101479907</v>
      </c>
      <c r="F41" s="789">
        <f t="shared" si="4"/>
        <v>14.910518961415828</v>
      </c>
      <c r="G41" s="789">
        <f t="shared" si="4"/>
        <v>19.176321728735044</v>
      </c>
      <c r="H41" s="789">
        <f t="shared" si="4"/>
        <v>20.62963298164145</v>
      </c>
      <c r="I41" s="789">
        <f t="shared" si="4"/>
        <v>15.457100814850266</v>
      </c>
      <c r="J41" s="789">
        <f t="shared" si="4"/>
        <v>10.41391313359801</v>
      </c>
      <c r="K41" s="790">
        <f t="shared" si="4"/>
        <v>5.1223190997058925</v>
      </c>
    </row>
    <row r="42" spans="2:13">
      <c r="B42" s="823"/>
      <c r="C42" s="823"/>
      <c r="D42" s="823"/>
      <c r="E42" s="823"/>
      <c r="F42" s="823"/>
      <c r="G42" s="823"/>
      <c r="H42" s="823"/>
      <c r="I42" s="823"/>
      <c r="J42" s="823"/>
      <c r="K42" s="823"/>
    </row>
    <row r="43" spans="2:13">
      <c r="B43" s="831" t="s">
        <v>439</v>
      </c>
      <c r="C43" s="211"/>
      <c r="D43" s="211"/>
      <c r="E43" s="211"/>
      <c r="F43" s="211"/>
      <c r="G43" s="211"/>
      <c r="H43" s="211"/>
      <c r="I43" s="211"/>
      <c r="J43" s="211"/>
      <c r="K43" s="211"/>
    </row>
    <row r="44" spans="2:13">
      <c r="B44" s="370" t="s">
        <v>427</v>
      </c>
      <c r="C44" s="433"/>
      <c r="D44" s="433"/>
      <c r="E44" s="433"/>
      <c r="F44" s="433"/>
      <c r="G44" s="433"/>
      <c r="H44" s="433"/>
      <c r="I44" s="433"/>
      <c r="J44" s="433"/>
      <c r="K44" s="433"/>
      <c r="L44" s="433"/>
      <c r="M44" s="433"/>
    </row>
    <row r="46" spans="2:13" ht="12.75" customHeight="1">
      <c r="B46" s="214" t="s">
        <v>115</v>
      </c>
      <c r="C46" s="156" t="s">
        <v>7</v>
      </c>
      <c r="D46" s="895">
        <f>'RFPR cover'!$C$12</f>
        <v>0.65</v>
      </c>
      <c r="E46" s="896">
        <f>'RFPR cover'!$C$12</f>
        <v>0.65</v>
      </c>
      <c r="F46" s="896">
        <f>'RFPR cover'!$C$12</f>
        <v>0.65</v>
      </c>
      <c r="G46" s="896">
        <f>'RFPR cover'!$C$12</f>
        <v>0.65</v>
      </c>
      <c r="H46" s="896">
        <f>'RFPR cover'!$C$12</f>
        <v>0.65</v>
      </c>
      <c r="I46" s="896">
        <f>'RFPR cover'!$C$12</f>
        <v>0.65</v>
      </c>
      <c r="J46" s="896">
        <f>'RFPR cover'!$C$12</f>
        <v>0.65</v>
      </c>
      <c r="K46" s="897">
        <f>'RFPR cover'!$C$12</f>
        <v>0.65</v>
      </c>
    </row>
    <row r="47" spans="2:13" ht="12.75" customHeight="1">
      <c r="B47" s="214" t="s">
        <v>389</v>
      </c>
      <c r="C47" s="156" t="s">
        <v>7</v>
      </c>
      <c r="D47" s="895">
        <f>'R8 - Net Debt'!D57</f>
        <v>0.61202059896871619</v>
      </c>
      <c r="E47" s="896">
        <f>'R8 - Net Debt'!E57</f>
        <v>0.60989026974339233</v>
      </c>
      <c r="F47" s="896">
        <f>'R8 - Net Debt'!F57</f>
        <v>0.60772815759865062</v>
      </c>
      <c r="G47" s="896">
        <f>'R8 - Net Debt'!G57</f>
        <v>0.62306016053526603</v>
      </c>
      <c r="H47" s="896">
        <f>'R8 - Net Debt'!H57</f>
        <v>0.6181382525179302</v>
      </c>
      <c r="I47" s="896">
        <f>'R8 - Net Debt'!I57</f>
        <v>0.59831407692988081</v>
      </c>
      <c r="J47" s="896">
        <f>'R8 - Net Debt'!J57</f>
        <v>0.57309183360524829</v>
      </c>
      <c r="K47" s="897">
        <f>'R8 - Net Debt'!K57</f>
        <v>0.53860157936599629</v>
      </c>
    </row>
    <row r="48" spans="2:13" ht="12.75" customHeight="1">
      <c r="B48" s="214"/>
      <c r="C48" s="156"/>
      <c r="D48" s="156"/>
      <c r="E48" s="156"/>
      <c r="F48" s="156"/>
      <c r="G48" s="156"/>
      <c r="H48" s="156"/>
      <c r="I48" s="156"/>
      <c r="J48" s="156"/>
      <c r="K48" s="156"/>
      <c r="L48" s="156"/>
    </row>
    <row r="49" spans="2:14" ht="12.75" customHeight="1">
      <c r="B49" s="823" t="s">
        <v>459</v>
      </c>
      <c r="C49" s="267" t="s">
        <v>128</v>
      </c>
      <c r="D49" s="788">
        <f>D37</f>
        <v>25.886210857573893</v>
      </c>
      <c r="E49" s="788">
        <f t="shared" ref="E49:K49" si="5">E37</f>
        <v>27.721644189800202</v>
      </c>
      <c r="F49" s="788">
        <f t="shared" si="5"/>
        <v>16.752921003964044</v>
      </c>
      <c r="G49" s="788">
        <f t="shared" si="5"/>
        <v>22.204170251658191</v>
      </c>
      <c r="H49" s="788">
        <f t="shared" si="5"/>
        <v>24.505314351896331</v>
      </c>
      <c r="I49" s="788">
        <f t="shared" si="5"/>
        <v>18.583708901203874</v>
      </c>
      <c r="J49" s="788">
        <f t="shared" si="5"/>
        <v>13.243577737096514</v>
      </c>
      <c r="K49" s="788">
        <f t="shared" si="5"/>
        <v>7.3527967599526081</v>
      </c>
    </row>
    <row r="50" spans="2:14">
      <c r="B50" s="214" t="s">
        <v>440</v>
      </c>
      <c r="C50" s="267" t="s">
        <v>128</v>
      </c>
      <c r="D50" s="788">
        <f>D85-D87</f>
        <v>-0.62422151527631531</v>
      </c>
      <c r="E50" s="788">
        <f t="shared" ref="E50:K50" si="6">E85-E87</f>
        <v>-0.8053004549920515</v>
      </c>
      <c r="F50" s="788">
        <f t="shared" si="6"/>
        <v>-0.96668241153221612</v>
      </c>
      <c r="G50" s="788">
        <f t="shared" si="6"/>
        <v>-0.54943844947443532</v>
      </c>
      <c r="H50" s="788">
        <f t="shared" si="6"/>
        <v>-0.63094132757068566</v>
      </c>
      <c r="I50" s="788">
        <f t="shared" si="6"/>
        <v>-0.97524738641053399</v>
      </c>
      <c r="J50" s="788">
        <f t="shared" si="6"/>
        <v>-2.6139888189720892</v>
      </c>
      <c r="K50" s="788">
        <f t="shared" si="6"/>
        <v>-6.4583840329677882</v>
      </c>
      <c r="L50" s="267"/>
    </row>
    <row r="51" spans="2:14" s="31" customFormat="1">
      <c r="B51" s="832" t="s">
        <v>397</v>
      </c>
      <c r="C51" s="267" t="s">
        <v>128</v>
      </c>
      <c r="D51" s="747">
        <f>SUM(D49:D50)</f>
        <v>25.261989342297579</v>
      </c>
      <c r="E51" s="748">
        <f t="shared" ref="E51:K51" si="7">SUM(E49:E50)</f>
        <v>26.916343734808152</v>
      </c>
      <c r="F51" s="748">
        <f t="shared" si="7"/>
        <v>15.786238592431827</v>
      </c>
      <c r="G51" s="748">
        <f t="shared" si="7"/>
        <v>21.654731802183754</v>
      </c>
      <c r="H51" s="748">
        <f t="shared" si="7"/>
        <v>23.874373024325646</v>
      </c>
      <c r="I51" s="748">
        <f t="shared" si="7"/>
        <v>17.608461514793341</v>
      </c>
      <c r="J51" s="748">
        <f t="shared" si="7"/>
        <v>10.629588918124425</v>
      </c>
      <c r="K51" s="749">
        <f t="shared" si="7"/>
        <v>0.89441272698481988</v>
      </c>
      <c r="L51" s="808"/>
    </row>
    <row r="53" spans="2:14">
      <c r="B53" s="832" t="s">
        <v>397</v>
      </c>
      <c r="C53" s="398" t="str">
        <f>'RFPR cover'!$C$14</f>
        <v>£m 12/13</v>
      </c>
      <c r="D53" s="747">
        <f>D51/D39</f>
        <v>23.824946102950125</v>
      </c>
      <c r="E53" s="748">
        <f t="shared" ref="E53:K53" si="8">E51/E39</f>
        <v>24.852661224920691</v>
      </c>
      <c r="F53" s="748">
        <f t="shared" si="8"/>
        <v>14.050147422422256</v>
      </c>
      <c r="G53" s="748">
        <f t="shared" si="8"/>
        <v>18.701806880495116</v>
      </c>
      <c r="H53" s="748">
        <f t="shared" si="8"/>
        <v>20.098479296615345</v>
      </c>
      <c r="I53" s="748">
        <f t="shared" si="8"/>
        <v>14.645933504207001</v>
      </c>
      <c r="J53" s="748">
        <f t="shared" si="8"/>
        <v>8.3584374129609191</v>
      </c>
      <c r="K53" s="749">
        <f t="shared" si="8"/>
        <v>0.62309180357161187</v>
      </c>
    </row>
    <row r="54" spans="2:14">
      <c r="B54" s="832"/>
      <c r="C54" s="398"/>
      <c r="D54" s="398"/>
      <c r="E54" s="398"/>
      <c r="F54" s="398"/>
      <c r="G54" s="398"/>
      <c r="H54" s="398"/>
      <c r="I54" s="398"/>
      <c r="J54" s="398"/>
      <c r="K54" s="398"/>
    </row>
    <row r="56" spans="2:14">
      <c r="B56" s="791" t="s">
        <v>363</v>
      </c>
      <c r="C56" s="792"/>
      <c r="D56" s="792"/>
      <c r="E56" s="792"/>
      <c r="F56" s="792"/>
      <c r="G56" s="792"/>
      <c r="H56" s="792"/>
      <c r="I56" s="792"/>
      <c r="J56" s="792"/>
      <c r="K56" s="792"/>
      <c r="L56" s="792"/>
      <c r="M56" s="491"/>
    </row>
    <row r="57" spans="2:14" s="31" customFormat="1">
      <c r="B57" s="492"/>
      <c r="C57" s="491"/>
      <c r="D57" s="491"/>
      <c r="E57" s="491"/>
      <c r="F57" s="491"/>
      <c r="G57" s="491"/>
      <c r="H57" s="491"/>
      <c r="I57" s="491"/>
      <c r="J57" s="491"/>
      <c r="K57" s="491"/>
      <c r="L57" s="491"/>
      <c r="M57" s="491"/>
    </row>
    <row r="58" spans="2:14">
      <c r="B58" s="369" t="s">
        <v>460</v>
      </c>
      <c r="C58" s="294"/>
      <c r="D58" s="294"/>
      <c r="E58" s="294"/>
      <c r="F58" s="294"/>
      <c r="G58" s="294"/>
      <c r="H58" s="294"/>
      <c r="I58" s="294"/>
      <c r="J58" s="294"/>
      <c r="K58" s="294"/>
      <c r="L58" s="294"/>
      <c r="M58" s="201"/>
      <c r="N58" s="201"/>
    </row>
    <row r="59" spans="2:14" s="31" customFormat="1">
      <c r="B59" s="374"/>
      <c r="C59" s="35"/>
      <c r="D59" s="35"/>
      <c r="E59" s="35"/>
      <c r="F59" s="35"/>
      <c r="G59" s="35"/>
      <c r="H59" s="35"/>
      <c r="I59" s="35"/>
      <c r="J59" s="35"/>
      <c r="K59" s="35"/>
      <c r="L59" s="35"/>
      <c r="M59" s="37"/>
      <c r="N59" s="37"/>
    </row>
    <row r="60" spans="2:14">
      <c r="B60" s="201" t="s">
        <v>362</v>
      </c>
      <c r="C60" s="211" t="str">
        <f>'RFPR cover'!$C$14</f>
        <v>£m 12/13</v>
      </c>
      <c r="D60" s="584">
        <v>21.201805351502731</v>
      </c>
      <c r="E60" s="585">
        <v>26.286220842117007</v>
      </c>
      <c r="F60" s="585">
        <v>20.708426196097104</v>
      </c>
      <c r="G60" s="585">
        <v>19.656390768303346</v>
      </c>
      <c r="H60" s="585">
        <v>18.27394074892511</v>
      </c>
      <c r="I60" s="585">
        <v>17.790016090156559</v>
      </c>
      <c r="J60" s="585">
        <v>17.389553269503441</v>
      </c>
      <c r="K60" s="687">
        <v>13.048004600514771</v>
      </c>
    </row>
    <row r="61" spans="2:14">
      <c r="B61" s="201" t="s">
        <v>365</v>
      </c>
      <c r="C61" s="211" t="str">
        <f>'RFPR cover'!$C$14</f>
        <v>£m 12/13</v>
      </c>
      <c r="D61" s="592">
        <v>0</v>
      </c>
      <c r="E61" s="593">
        <v>0</v>
      </c>
      <c r="F61" s="593">
        <v>0</v>
      </c>
      <c r="G61" s="593">
        <v>0</v>
      </c>
      <c r="H61" s="593">
        <v>0</v>
      </c>
      <c r="I61" s="593">
        <v>0</v>
      </c>
      <c r="J61" s="593">
        <v>0</v>
      </c>
      <c r="K61" s="686">
        <v>0</v>
      </c>
    </row>
    <row r="62" spans="2:14">
      <c r="B62" s="201" t="s">
        <v>366</v>
      </c>
      <c r="C62" s="211" t="str">
        <f>'RFPR cover'!$C$14</f>
        <v>£m 12/13</v>
      </c>
      <c r="D62" s="648">
        <f t="shared" ref="D62:K62" si="9">SUM(D60:D61)</f>
        <v>21.201805351502731</v>
      </c>
      <c r="E62" s="649">
        <f t="shared" si="9"/>
        <v>26.286220842117007</v>
      </c>
      <c r="F62" s="649">
        <f t="shared" si="9"/>
        <v>20.708426196097104</v>
      </c>
      <c r="G62" s="649">
        <f t="shared" si="9"/>
        <v>19.656390768303346</v>
      </c>
      <c r="H62" s="649">
        <f t="shared" si="9"/>
        <v>18.27394074892511</v>
      </c>
      <c r="I62" s="649">
        <f t="shared" si="9"/>
        <v>17.790016090156559</v>
      </c>
      <c r="J62" s="649">
        <f t="shared" si="9"/>
        <v>17.389553269503441</v>
      </c>
      <c r="K62" s="650">
        <f t="shared" si="9"/>
        <v>13.048004600514771</v>
      </c>
    </row>
    <row r="63" spans="2:14">
      <c r="B63" s="201"/>
      <c r="C63" s="211"/>
      <c r="D63" s="211"/>
      <c r="E63" s="211"/>
      <c r="F63" s="211"/>
      <c r="G63" s="211"/>
      <c r="H63" s="211"/>
      <c r="I63" s="211"/>
      <c r="J63" s="211"/>
      <c r="K63" s="211"/>
      <c r="L63" s="211"/>
    </row>
    <row r="64" spans="2:14">
      <c r="B64" s="513" t="s">
        <v>461</v>
      </c>
      <c r="C64" s="294"/>
      <c r="D64" s="294"/>
      <c r="E64" s="294"/>
      <c r="F64" s="294"/>
      <c r="G64" s="294"/>
      <c r="H64" s="294"/>
      <c r="I64" s="294"/>
      <c r="J64" s="294"/>
      <c r="K64" s="294"/>
      <c r="L64" s="294"/>
    </row>
    <row r="65" spans="2:13" s="31" customFormat="1">
      <c r="B65" s="514"/>
      <c r="C65" s="35"/>
      <c r="D65" s="35"/>
      <c r="E65" s="35"/>
      <c r="F65" s="35"/>
      <c r="G65" s="35"/>
      <c r="H65" s="35"/>
      <c r="I65" s="35"/>
      <c r="J65" s="35"/>
      <c r="K65" s="35"/>
      <c r="L65" s="35"/>
    </row>
    <row r="66" spans="2:13">
      <c r="B66" s="201" t="s">
        <v>353</v>
      </c>
      <c r="C66" s="211" t="str">
        <f>'RFPR cover'!$C$14</f>
        <v>£m 12/13</v>
      </c>
      <c r="D66" s="584">
        <v>20.886007705040399</v>
      </c>
      <c r="E66" s="585">
        <v>26.495265256491436</v>
      </c>
      <c r="F66" s="585">
        <v>20.307173490249291</v>
      </c>
      <c r="G66" s="585">
        <v>18.872542179477175</v>
      </c>
      <c r="H66" s="585">
        <v>18.379250736996635</v>
      </c>
      <c r="I66" s="585">
        <v>18.130887866440254</v>
      </c>
      <c r="J66" s="585">
        <v>16.941698812082716</v>
      </c>
      <c r="K66" s="687">
        <v>17.012152871825904</v>
      </c>
    </row>
    <row r="67" spans="2:13">
      <c r="B67" s="201" t="s">
        <v>368</v>
      </c>
      <c r="C67" s="211" t="str">
        <f>'RFPR cover'!$C$14</f>
        <v>£m 12/13</v>
      </c>
      <c r="D67" s="592">
        <v>0</v>
      </c>
      <c r="E67" s="593">
        <v>0</v>
      </c>
      <c r="F67" s="593">
        <v>0</v>
      </c>
      <c r="G67" s="593">
        <v>0</v>
      </c>
      <c r="H67" s="593">
        <v>0</v>
      </c>
      <c r="I67" s="593">
        <v>0</v>
      </c>
      <c r="J67" s="593">
        <v>0</v>
      </c>
      <c r="K67" s="686">
        <v>0</v>
      </c>
    </row>
    <row r="68" spans="2:13">
      <c r="B68" s="14" t="s">
        <v>369</v>
      </c>
      <c r="C68" s="211" t="str">
        <f>'RFPR cover'!$C$14</f>
        <v>£m 12/13</v>
      </c>
      <c r="D68" s="612">
        <f t="shared" ref="D68:K68" si="10">SUM(D66:D67)</f>
        <v>20.886007705040399</v>
      </c>
      <c r="E68" s="613">
        <f t="shared" si="10"/>
        <v>26.495265256491436</v>
      </c>
      <c r="F68" s="613">
        <f t="shared" si="10"/>
        <v>20.307173490249291</v>
      </c>
      <c r="G68" s="613">
        <f t="shared" si="10"/>
        <v>18.872542179477175</v>
      </c>
      <c r="H68" s="613">
        <f t="shared" si="10"/>
        <v>18.379250736996635</v>
      </c>
      <c r="I68" s="613">
        <f t="shared" si="10"/>
        <v>18.130887866440254</v>
      </c>
      <c r="J68" s="613">
        <f t="shared" si="10"/>
        <v>16.941698812082716</v>
      </c>
      <c r="K68" s="614">
        <f t="shared" si="10"/>
        <v>17.012152871825904</v>
      </c>
    </row>
    <row r="69" spans="2:13" s="31" customFormat="1">
      <c r="B69" s="514"/>
      <c r="C69" s="35"/>
      <c r="D69" s="750"/>
      <c r="E69" s="750"/>
      <c r="F69" s="750"/>
      <c r="G69" s="750"/>
      <c r="H69" s="750"/>
      <c r="I69" s="750"/>
      <c r="J69" s="750"/>
      <c r="K69" s="750"/>
      <c r="L69" s="35"/>
    </row>
    <row r="70" spans="2:13" s="31" customFormat="1">
      <c r="B70" s="515" t="s">
        <v>367</v>
      </c>
      <c r="C70" s="35"/>
      <c r="D70" s="705">
        <f t="shared" ref="D70:K70" si="11">D68-D62</f>
        <v>-0.31579764646233244</v>
      </c>
      <c r="E70" s="706">
        <f t="shared" si="11"/>
        <v>0.20904441437442856</v>
      </c>
      <c r="F70" s="706">
        <f t="shared" si="11"/>
        <v>-0.40125270584781347</v>
      </c>
      <c r="G70" s="706">
        <f t="shared" si="11"/>
        <v>-0.78384858882617081</v>
      </c>
      <c r="H70" s="706">
        <f t="shared" si="11"/>
        <v>0.10530998807152514</v>
      </c>
      <c r="I70" s="706">
        <f t="shared" si="11"/>
        <v>0.34087177628369503</v>
      </c>
      <c r="J70" s="706">
        <f t="shared" si="11"/>
        <v>-0.44785445742072483</v>
      </c>
      <c r="K70" s="707">
        <f t="shared" si="11"/>
        <v>3.9641482713111333</v>
      </c>
      <c r="L70" s="35"/>
    </row>
    <row r="71" spans="2:13">
      <c r="B71" s="201" t="s">
        <v>364</v>
      </c>
      <c r="C71" s="211" t="str">
        <f>'RFPR cover'!$C$14</f>
        <v>£m 12/13</v>
      </c>
      <c r="D71" s="588">
        <v>0</v>
      </c>
      <c r="E71" s="589">
        <v>0</v>
      </c>
      <c r="F71" s="589">
        <v>0</v>
      </c>
      <c r="G71" s="589">
        <v>0</v>
      </c>
      <c r="H71" s="589">
        <v>0</v>
      </c>
      <c r="I71" s="589">
        <v>0</v>
      </c>
      <c r="J71" s="589">
        <v>0</v>
      </c>
      <c r="K71" s="685">
        <v>0</v>
      </c>
    </row>
    <row r="72" spans="2:13">
      <c r="B72" s="201" t="s">
        <v>415</v>
      </c>
      <c r="C72" s="211" t="str">
        <f>'RFPR cover'!$C$14</f>
        <v>£m 12/13</v>
      </c>
      <c r="D72" s="588">
        <v>0</v>
      </c>
      <c r="E72" s="589">
        <v>0</v>
      </c>
      <c r="F72" s="589">
        <v>0</v>
      </c>
      <c r="G72" s="589">
        <v>0</v>
      </c>
      <c r="H72" s="589">
        <v>0</v>
      </c>
      <c r="I72" s="589">
        <v>0</v>
      </c>
      <c r="J72" s="589">
        <v>0</v>
      </c>
      <c r="K72" s="685">
        <v>0</v>
      </c>
    </row>
    <row r="73" spans="2:13">
      <c r="B73" s="201" t="s">
        <v>331</v>
      </c>
      <c r="C73" s="211" t="str">
        <f>'RFPR cover'!$C$14</f>
        <v>£m 12/13</v>
      </c>
      <c r="D73" s="751">
        <v>-0.31579764646233244</v>
      </c>
      <c r="E73" s="752">
        <v>0.20904441437442856</v>
      </c>
      <c r="F73" s="752">
        <v>-0.37648402030165329</v>
      </c>
      <c r="G73" s="752">
        <v>-0.75295802226661479</v>
      </c>
      <c r="H73" s="752">
        <v>0.10586329326178756</v>
      </c>
      <c r="I73" s="752">
        <v>0.34141754308926764</v>
      </c>
      <c r="J73" s="752">
        <v>-0.44785445742072483</v>
      </c>
      <c r="K73" s="753">
        <v>3.9641482713111333</v>
      </c>
    </row>
    <row r="74" spans="2:13">
      <c r="B74" s="201" t="s">
        <v>122</v>
      </c>
      <c r="C74" s="211" t="str">
        <f>'RFPR cover'!$C$14</f>
        <v>£m 12/13</v>
      </c>
      <c r="D74" s="516" t="str">
        <f>IF(ABS(D70-SUM(D71:D73))&lt;'RFPR cover'!$F$14,"OK","ERROR")</f>
        <v>OK</v>
      </c>
      <c r="E74" s="517" t="str">
        <f>IF(ABS(E70-SUM(E71:E73))&lt;'RFPR cover'!$F$14,"OK","ERROR")</f>
        <v>OK</v>
      </c>
      <c r="F74" s="517" t="str">
        <f>IF(ABS(F70-SUM(F71:F73))&lt;'RFPR cover'!$F$14,"OK","ERROR")</f>
        <v>OK</v>
      </c>
      <c r="G74" s="517" t="str">
        <f>IF(ABS(G70-SUM(G71:G73))&lt;'RFPR cover'!$F$14,"OK","ERROR")</f>
        <v>OK</v>
      </c>
      <c r="H74" s="517" t="str">
        <f>IF(ABS(H70-SUM(H71:H73))&lt;'RFPR cover'!$F$14,"OK","ERROR")</f>
        <v>OK</v>
      </c>
      <c r="I74" s="517" t="str">
        <f>IF(ABS(I70-SUM(I71:I73))&lt;'RFPR cover'!$F$14,"OK","ERROR")</f>
        <v>OK</v>
      </c>
      <c r="J74" s="517" t="str">
        <f>IF(ABS(J70-SUM(J71:J73))&lt;'RFPR cover'!$F$14,"OK","ERROR")</f>
        <v>OK</v>
      </c>
      <c r="K74" s="518" t="str">
        <f>IF(ABS(K70-SUM(K71:K73))&lt;'RFPR cover'!$F$14,"OK","ERROR")</f>
        <v>OK</v>
      </c>
    </row>
    <row r="75" spans="2:13">
      <c r="B75" s="201"/>
      <c r="C75" s="201"/>
      <c r="D75" s="201"/>
      <c r="E75" s="201"/>
      <c r="F75" s="201"/>
      <c r="G75" s="201"/>
      <c r="H75" s="201"/>
      <c r="I75" s="201"/>
      <c r="J75" s="201"/>
      <c r="K75" s="201"/>
      <c r="L75" s="201"/>
      <c r="M75" s="201"/>
    </row>
    <row r="77" spans="2:13">
      <c r="B77" s="836" t="s">
        <v>417</v>
      </c>
      <c r="C77" s="836"/>
      <c r="D77" s="836"/>
      <c r="E77" s="836"/>
      <c r="F77" s="836"/>
      <c r="G77" s="836"/>
      <c r="H77" s="836"/>
      <c r="I77" s="836"/>
      <c r="J77" s="836"/>
      <c r="K77" s="836"/>
      <c r="L77" s="836"/>
    </row>
    <row r="79" spans="2:13">
      <c r="B79" s="14" t="s">
        <v>418</v>
      </c>
      <c r="C79" s="212" t="str">
        <f>'RFPR cover'!$C$14</f>
        <v>£m 12/13</v>
      </c>
      <c r="D79" s="612">
        <f t="shared" ref="D79:K79" si="12">D$68-D41</f>
        <v>-3.5276507022435339</v>
      </c>
      <c r="E79" s="613">
        <f t="shared" si="12"/>
        <v>0.89904615501152918</v>
      </c>
      <c r="F79" s="613">
        <f t="shared" si="12"/>
        <v>5.3966545288334622</v>
      </c>
      <c r="G79" s="613">
        <f t="shared" si="12"/>
        <v>-0.3037795492578681</v>
      </c>
      <c r="H79" s="613">
        <f t="shared" si="12"/>
        <v>-2.2503822446448147</v>
      </c>
      <c r="I79" s="613">
        <f t="shared" si="12"/>
        <v>2.6737870515899882</v>
      </c>
      <c r="J79" s="613">
        <f t="shared" si="12"/>
        <v>6.5277856784847064</v>
      </c>
      <c r="K79" s="614">
        <f t="shared" si="12"/>
        <v>11.889833772120012</v>
      </c>
    </row>
    <row r="80" spans="2:13">
      <c r="B80" s="14"/>
      <c r="C80" s="14"/>
      <c r="D80" s="14"/>
      <c r="E80" s="14"/>
      <c r="F80" s="14"/>
      <c r="G80" s="14"/>
      <c r="H80" s="14"/>
      <c r="I80" s="14"/>
      <c r="J80" s="14"/>
      <c r="K80" s="14"/>
    </row>
    <row r="81" spans="2:11">
      <c r="B81" s="14" t="s">
        <v>429</v>
      </c>
      <c r="C81" s="212" t="str">
        <f>'RFPR cover'!$C$14</f>
        <v>£m 12/13</v>
      </c>
      <c r="D81" s="612">
        <f t="shared" ref="D81:K81" si="13">D$68-D53</f>
        <v>-2.9389383979097268</v>
      </c>
      <c r="E81" s="613">
        <f t="shared" si="13"/>
        <v>1.6426040315707446</v>
      </c>
      <c r="F81" s="613">
        <f t="shared" si="13"/>
        <v>6.2570260678270344</v>
      </c>
      <c r="G81" s="613">
        <f t="shared" si="13"/>
        <v>0.17073529898205919</v>
      </c>
      <c r="H81" s="613">
        <f t="shared" si="13"/>
        <v>-1.7192285596187098</v>
      </c>
      <c r="I81" s="613">
        <f t="shared" si="13"/>
        <v>3.4849543622332533</v>
      </c>
      <c r="J81" s="613">
        <f t="shared" si="13"/>
        <v>8.5832613991217972</v>
      </c>
      <c r="K81" s="614">
        <f t="shared" si="13"/>
        <v>16.389061068254293</v>
      </c>
    </row>
    <row r="83" spans="2:11">
      <c r="B83" s="14" t="s">
        <v>428</v>
      </c>
      <c r="C83" s="212" t="str">
        <f>'RFPR cover'!$C$14</f>
        <v>£m 12/13</v>
      </c>
      <c r="D83" s="612">
        <f>D79-D81</f>
        <v>-0.58871230433380717</v>
      </c>
      <c r="E83" s="613">
        <f t="shared" ref="E83:K83" si="14">E79-E81</f>
        <v>-0.74355787655921546</v>
      </c>
      <c r="F83" s="613">
        <f t="shared" si="14"/>
        <v>-0.86037153899357222</v>
      </c>
      <c r="G83" s="613">
        <f t="shared" si="14"/>
        <v>-0.47451484823992729</v>
      </c>
      <c r="H83" s="613">
        <f t="shared" si="14"/>
        <v>-0.53115368502610494</v>
      </c>
      <c r="I83" s="613">
        <f t="shared" si="14"/>
        <v>-0.81116731064326508</v>
      </c>
      <c r="J83" s="613">
        <f t="shared" si="14"/>
        <v>-2.0554757206370908</v>
      </c>
      <c r="K83" s="614">
        <f t="shared" si="14"/>
        <v>-4.499227296134281</v>
      </c>
    </row>
    <row r="85" spans="2:11">
      <c r="B85" t="s">
        <v>511</v>
      </c>
      <c r="C85" s="267" t="s">
        <v>128</v>
      </c>
      <c r="D85" s="588">
        <v>2.5348726661520304</v>
      </c>
      <c r="E85" s="588">
        <v>2.5277275714498888</v>
      </c>
      <c r="F85" s="588">
        <v>1.1687560030578592</v>
      </c>
      <c r="G85" s="588">
        <v>1.4235488743603713</v>
      </c>
      <c r="H85" s="588">
        <v>1.9623219023203187</v>
      </c>
      <c r="I85" s="588">
        <v>1.1293179765963763</v>
      </c>
      <c r="J85" s="588">
        <v>0.98230883697417992</v>
      </c>
      <c r="K85" s="588">
        <v>-9.7983547068941359</v>
      </c>
    </row>
    <row r="86" spans="2:11">
      <c r="B86" t="s">
        <v>511</v>
      </c>
      <c r="C86" s="398" t="str">
        <f>'RFPR cover'!$C$14</f>
        <v>£m 12/13</v>
      </c>
      <c r="D86" s="788">
        <f>D85/D$39</f>
        <v>2.3906749318349942</v>
      </c>
      <c r="E86" s="788">
        <f t="shared" ref="E86:K86" si="15">E85/E$39</f>
        <v>2.3339260941632256</v>
      </c>
      <c r="F86" s="788">
        <f t="shared" si="15"/>
        <v>1.0402220926571133</v>
      </c>
      <c r="G86" s="788">
        <f t="shared" si="15"/>
        <v>1.2294281165167376</v>
      </c>
      <c r="H86" s="788">
        <f t="shared" si="15"/>
        <v>1.6519674081867863</v>
      </c>
      <c r="I86" s="788">
        <f t="shared" si="15"/>
        <v>0.93931636085529102</v>
      </c>
      <c r="J86" s="788">
        <f t="shared" si="15"/>
        <v>0.77242563162977484</v>
      </c>
      <c r="K86" s="788">
        <f t="shared" si="15"/>
        <v>-6.8260147940143066</v>
      </c>
    </row>
    <row r="87" spans="2:11">
      <c r="B87" t="s">
        <v>512</v>
      </c>
      <c r="C87" s="267" t="s">
        <v>128</v>
      </c>
      <c r="D87" s="588">
        <v>3.1590941814283457</v>
      </c>
      <c r="E87" s="588">
        <v>3.3330280264419403</v>
      </c>
      <c r="F87" s="588">
        <v>2.1354384145900753</v>
      </c>
      <c r="G87" s="588">
        <v>1.9729873238348066</v>
      </c>
      <c r="H87" s="588">
        <v>2.5932632298910043</v>
      </c>
      <c r="I87" s="588">
        <v>2.1045653630069103</v>
      </c>
      <c r="J87" s="588">
        <v>3.5962976559462692</v>
      </c>
      <c r="K87" s="588">
        <v>-3.3399706739263477</v>
      </c>
    </row>
    <row r="88" spans="2:11">
      <c r="B88" t="s">
        <v>512</v>
      </c>
      <c r="C88" s="398" t="str">
        <f>'RFPR cover'!$C$14</f>
        <v>£m 12/13</v>
      </c>
      <c r="D88" s="788">
        <f t="shared" ref="D88:K88" si="16">D87/D$39</f>
        <v>2.979387236168801</v>
      </c>
      <c r="E88" s="788">
        <f t="shared" si="16"/>
        <v>3.0774839707224433</v>
      </c>
      <c r="F88" s="788">
        <f t="shared" si="16"/>
        <v>1.9005936316506857</v>
      </c>
      <c r="G88" s="788">
        <f t="shared" si="16"/>
        <v>1.7039429647566653</v>
      </c>
      <c r="H88" s="788">
        <f t="shared" si="16"/>
        <v>2.1831210932128924</v>
      </c>
      <c r="I88" s="788">
        <f t="shared" si="16"/>
        <v>1.7504836714985563</v>
      </c>
      <c r="J88" s="788">
        <f t="shared" si="16"/>
        <v>2.8279013522668657</v>
      </c>
      <c r="K88" s="788">
        <f t="shared" si="16"/>
        <v>-2.326787497880026</v>
      </c>
    </row>
    <row r="89" spans="2:11">
      <c r="B89" t="s">
        <v>514</v>
      </c>
      <c r="C89" s="398" t="str">
        <f>'RFPR cover'!$C$14</f>
        <v>£m 12/13</v>
      </c>
      <c r="D89" s="788">
        <f>D86-D88</f>
        <v>-0.58871230433380672</v>
      </c>
      <c r="E89" s="788">
        <f t="shared" ref="E89:K89" si="17">E86-E88</f>
        <v>-0.74355787655921768</v>
      </c>
      <c r="F89" s="788">
        <f t="shared" si="17"/>
        <v>-0.86037153899357244</v>
      </c>
      <c r="G89" s="788">
        <f t="shared" si="17"/>
        <v>-0.47451484823992773</v>
      </c>
      <c r="H89" s="788">
        <f t="shared" si="17"/>
        <v>-0.53115368502610605</v>
      </c>
      <c r="I89" s="788">
        <f t="shared" si="17"/>
        <v>-0.8111673106432653</v>
      </c>
      <c r="J89" s="788">
        <f t="shared" si="17"/>
        <v>-2.0554757206370908</v>
      </c>
      <c r="K89" s="788">
        <f t="shared" si="17"/>
        <v>-4.499227296134281</v>
      </c>
    </row>
  </sheetData>
  <conditionalFormatting sqref="D6:K7">
    <cfRule type="expression" dxfId="22" priority="70">
      <formula>AND(D$6="Actuals",E$6="Forecast")</formula>
    </cfRule>
  </conditionalFormatting>
  <conditionalFormatting sqref="D5:K5">
    <cfRule type="expression" dxfId="21" priority="45">
      <formula>AND(D$5="Actuals",E$5="Forecast")</formula>
    </cfRule>
  </conditionalFormatting>
  <conditionalFormatting sqref="J36:K36 D36:F36">
    <cfRule type="expression" dxfId="20" priority="13">
      <formula>AND(D$5="Actuals",E$5="Actuals")</formula>
    </cfRule>
  </conditionalFormatting>
  <conditionalFormatting sqref="D12:K12 D15:K19 D24:K33">
    <cfRule type="expression" dxfId="19" priority="12">
      <formula>NOT(AND(D$5="Actuals"))</formula>
    </cfRule>
  </conditionalFormatting>
  <conditionalFormatting sqref="G36">
    <cfRule type="expression" dxfId="18" priority="178">
      <formula>AND(E$5="Actuals",F$5="Actuals")</formula>
    </cfRule>
  </conditionalFormatting>
  <conditionalFormatting sqref="H36:I36">
    <cfRule type="expression" dxfId="17" priority="1">
      <formula>AND(F$5="Actuals",G$5="Actuals")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activeCell="I31" sqref="I31"/>
    </sheetView>
  </sheetViews>
  <sheetFormatPr defaultRowHeight="12.75"/>
  <cols>
    <col min="1" max="1" width="8.375" customWidth="1"/>
    <col min="2" max="2" width="83.125" bestFit="1" customWidth="1"/>
    <col min="3" max="3" width="14.125" customWidth="1"/>
    <col min="4" max="11" width="11.125" customWidth="1"/>
    <col min="12" max="12" width="5" customWidth="1"/>
    <col min="17" max="17" width="13.125" customWidth="1"/>
  </cols>
  <sheetData>
    <row r="1" spans="1:18" s="31" customFormat="1" ht="20.25">
      <c r="A1" s="929" t="s">
        <v>258</v>
      </c>
      <c r="B1" s="940"/>
      <c r="C1" s="121"/>
      <c r="D1" s="121"/>
      <c r="E1" s="121"/>
      <c r="F1" s="121"/>
      <c r="G1" s="121"/>
      <c r="H1" s="121"/>
      <c r="I1" s="127"/>
      <c r="J1" s="127"/>
      <c r="K1" s="128"/>
      <c r="L1" s="129"/>
    </row>
    <row r="2" spans="1:18" s="31" customFormat="1" ht="20.25">
      <c r="A2" s="914" t="str">
        <f>'RFPR cover'!C5</f>
        <v>ENWL</v>
      </c>
      <c r="B2" s="906"/>
      <c r="C2" s="29"/>
      <c r="D2" s="29"/>
      <c r="E2" s="29"/>
      <c r="F2" s="29"/>
      <c r="G2" s="29"/>
      <c r="H2" s="29"/>
      <c r="I2" s="27"/>
      <c r="J2" s="27"/>
      <c r="K2" s="27"/>
      <c r="L2" s="124"/>
    </row>
    <row r="3" spans="1:18" s="31" customFormat="1" ht="23.25">
      <c r="A3" s="931">
        <f>'RFPR cover'!C7</f>
        <v>2023</v>
      </c>
      <c r="B3" s="923" t="str">
        <f>'R1 - RoRE'!B3</f>
        <v/>
      </c>
      <c r="C3" s="125"/>
      <c r="D3" s="125"/>
      <c r="E3" s="125"/>
      <c r="F3" s="125"/>
      <c r="G3" s="125"/>
      <c r="H3" s="125"/>
      <c r="I3" s="28"/>
      <c r="J3" s="28"/>
      <c r="K3" s="28"/>
      <c r="L3" s="126"/>
    </row>
    <row r="4" spans="1:18" s="2" customFormat="1" ht="12.75" customHeight="1"/>
    <row r="5" spans="1:18" s="2" customFormat="1">
      <c r="B5" s="3"/>
      <c r="C5" s="3"/>
      <c r="D5" s="391" t="str">
        <f>IF(D6&lt;='RFPR cover'!$C$7,"Actuals","N/A")</f>
        <v>Actuals</v>
      </c>
      <c r="E5" s="392" t="str">
        <f>IF(E6&lt;='RFPR cover'!$C$7,"Actuals","N/A")</f>
        <v>Actuals</v>
      </c>
      <c r="F5" s="392" t="str">
        <f>IF(F6&lt;='RFPR cover'!$C$7,"Actuals","N/A")</f>
        <v>Actuals</v>
      </c>
      <c r="G5" s="392" t="str">
        <f>IF(G6&lt;='RFPR cover'!$C$7,"Actuals","N/A")</f>
        <v>Actuals</v>
      </c>
      <c r="H5" s="392" t="str">
        <f>IF(H6&lt;='RFPR cover'!$C$7,"Actuals","N/A")</f>
        <v>Actuals</v>
      </c>
      <c r="I5" s="392" t="str">
        <f>IF(I6&lt;='RFPR cover'!$C$7,"Actuals","N/A")</f>
        <v>Actuals</v>
      </c>
      <c r="J5" s="392" t="str">
        <f>IF(J6&lt;='RFPR cover'!$C$7,"Actuals","N/A")</f>
        <v>Actuals</v>
      </c>
      <c r="K5" s="393" t="str">
        <f>IF(K6&lt;='RFPR cover'!$C$7,"Actuals","N/A")</f>
        <v>Actuals</v>
      </c>
    </row>
    <row r="6" spans="1:18"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8" s="2" customFormat="1"/>
    <row r="8" spans="1:18">
      <c r="B8" s="14" t="s">
        <v>229</v>
      </c>
      <c r="C8" s="153" t="s">
        <v>128</v>
      </c>
      <c r="D8" s="640">
        <v>30</v>
      </c>
      <c r="E8" s="641">
        <v>81</v>
      </c>
      <c r="F8" s="641">
        <v>75.599999999999994</v>
      </c>
      <c r="G8" s="641">
        <v>46.3</v>
      </c>
      <c r="H8" s="641">
        <v>38.299999999999997</v>
      </c>
      <c r="I8" s="641">
        <v>30.7</v>
      </c>
      <c r="J8" s="641">
        <v>97.1</v>
      </c>
      <c r="K8" s="642">
        <v>23</v>
      </c>
    </row>
    <row r="9" spans="1:18">
      <c r="B9" s="15" t="s">
        <v>105</v>
      </c>
      <c r="C9" s="14"/>
      <c r="D9" s="754"/>
      <c r="E9" s="754"/>
      <c r="F9" s="754"/>
      <c r="G9" s="754"/>
      <c r="H9" s="754"/>
      <c r="I9" s="754"/>
      <c r="J9" s="754"/>
      <c r="K9" s="754"/>
    </row>
    <row r="10" spans="1:18">
      <c r="B10" s="432" t="s">
        <v>22</v>
      </c>
      <c r="C10" s="153" t="s">
        <v>128</v>
      </c>
      <c r="D10" s="596">
        <v>0</v>
      </c>
      <c r="E10" s="597">
        <v>0</v>
      </c>
      <c r="F10" s="597">
        <v>0</v>
      </c>
      <c r="G10" s="597">
        <v>0</v>
      </c>
      <c r="H10" s="597">
        <v>0</v>
      </c>
      <c r="I10" s="597">
        <v>0</v>
      </c>
      <c r="J10" s="597">
        <v>0</v>
      </c>
      <c r="K10" s="607">
        <v>0</v>
      </c>
    </row>
    <row r="11" spans="1:18">
      <c r="B11" s="432" t="s">
        <v>22</v>
      </c>
      <c r="C11" s="153" t="s">
        <v>128</v>
      </c>
      <c r="D11" s="598">
        <v>0</v>
      </c>
      <c r="E11" s="599">
        <v>0</v>
      </c>
      <c r="F11" s="599">
        <v>0</v>
      </c>
      <c r="G11" s="599">
        <v>0</v>
      </c>
      <c r="H11" s="599">
        <v>0</v>
      </c>
      <c r="I11" s="599">
        <v>0</v>
      </c>
      <c r="J11" s="599">
        <v>0</v>
      </c>
      <c r="K11" s="608">
        <v>0</v>
      </c>
    </row>
    <row r="12" spans="1:18">
      <c r="B12" s="432" t="s">
        <v>20</v>
      </c>
      <c r="C12" s="153" t="s">
        <v>128</v>
      </c>
      <c r="D12" s="609">
        <v>0</v>
      </c>
      <c r="E12" s="610">
        <v>0</v>
      </c>
      <c r="F12" s="610">
        <v>0</v>
      </c>
      <c r="G12" s="610">
        <v>0</v>
      </c>
      <c r="H12" s="610">
        <v>0</v>
      </c>
      <c r="I12" s="610">
        <v>0</v>
      </c>
      <c r="J12" s="610">
        <v>0</v>
      </c>
      <c r="K12" s="611">
        <v>0</v>
      </c>
      <c r="Q12" s="217"/>
    </row>
    <row r="13" spans="1:18">
      <c r="B13" s="14" t="s">
        <v>106</v>
      </c>
      <c r="C13" s="153" t="s">
        <v>128</v>
      </c>
      <c r="D13" s="742">
        <f>D8-SUM(D10:D12)</f>
        <v>30</v>
      </c>
      <c r="E13" s="743">
        <f t="shared" ref="E13:K13" si="1">E8-SUM(E10:E12)</f>
        <v>81</v>
      </c>
      <c r="F13" s="743">
        <f t="shared" si="1"/>
        <v>75.599999999999994</v>
      </c>
      <c r="G13" s="743">
        <f t="shared" si="1"/>
        <v>46.3</v>
      </c>
      <c r="H13" s="743">
        <f t="shared" si="1"/>
        <v>38.299999999999997</v>
      </c>
      <c r="I13" s="743">
        <f t="shared" si="1"/>
        <v>30.7</v>
      </c>
      <c r="J13" s="743">
        <f t="shared" si="1"/>
        <v>97.1</v>
      </c>
      <c r="K13" s="744">
        <f t="shared" si="1"/>
        <v>23</v>
      </c>
      <c r="R13" s="216"/>
    </row>
    <row r="14" spans="1:18">
      <c r="C14" s="14"/>
      <c r="Q14" s="217"/>
    </row>
    <row r="15" spans="1:18">
      <c r="B15" s="14" t="s">
        <v>488</v>
      </c>
      <c r="C15" s="153" t="s">
        <v>128</v>
      </c>
      <c r="D15" s="596">
        <v>0</v>
      </c>
      <c r="E15" s="597">
        <v>0</v>
      </c>
      <c r="F15" s="597">
        <v>0</v>
      </c>
      <c r="G15" s="597">
        <v>0</v>
      </c>
      <c r="H15" s="597">
        <v>0</v>
      </c>
      <c r="I15" s="597">
        <v>0</v>
      </c>
      <c r="J15" s="597">
        <v>0</v>
      </c>
      <c r="K15" s="607">
        <v>0</v>
      </c>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activeCell="J34" sqref="J34"/>
    </sheetView>
  </sheetViews>
  <sheetFormatPr defaultRowHeight="12.75"/>
  <cols>
    <col min="1" max="1" width="8.375" customWidth="1"/>
    <col min="2" max="2" width="82" customWidth="1"/>
    <col min="3" max="3" width="14.125" customWidth="1"/>
    <col min="4" max="11" width="11.125" customWidth="1"/>
    <col min="12" max="12" width="5" customWidth="1"/>
  </cols>
  <sheetData>
    <row r="1" spans="1:12" s="31" customFormat="1" ht="20.25">
      <c r="A1" s="925" t="s">
        <v>257</v>
      </c>
      <c r="B1" s="921"/>
      <c r="C1" s="257"/>
      <c r="D1" s="257"/>
      <c r="E1" s="257"/>
      <c r="F1" s="257"/>
      <c r="G1" s="257"/>
      <c r="H1" s="257"/>
      <c r="I1" s="258"/>
      <c r="J1" s="258"/>
      <c r="K1" s="259"/>
      <c r="L1" s="260"/>
    </row>
    <row r="2" spans="1:12" s="31" customFormat="1" ht="20.25">
      <c r="A2" s="914" t="str">
        <f>'RFPR cover'!C5</f>
        <v>ENWL</v>
      </c>
      <c r="B2" s="906"/>
      <c r="C2" s="29"/>
      <c r="D2" s="29"/>
      <c r="E2" s="29"/>
      <c r="F2" s="29"/>
      <c r="G2" s="29"/>
      <c r="H2" s="29"/>
      <c r="I2" s="27"/>
      <c r="J2" s="27"/>
      <c r="K2" s="27"/>
      <c r="L2" s="124"/>
    </row>
    <row r="3" spans="1:12" s="31" customFormat="1" ht="20.25">
      <c r="A3" s="917">
        <f>'RFPR cover'!C7</f>
        <v>2023</v>
      </c>
      <c r="B3" s="924"/>
      <c r="C3" s="261"/>
      <c r="D3" s="261"/>
      <c r="E3" s="261"/>
      <c r="F3" s="261"/>
      <c r="G3" s="261"/>
      <c r="H3" s="261"/>
      <c r="I3" s="256"/>
      <c r="J3" s="256"/>
      <c r="K3" s="256"/>
      <c r="L3" s="262"/>
    </row>
    <row r="4" spans="1:12" s="2" customFormat="1" ht="12.75" customHeight="1">
      <c r="A4" s="35"/>
      <c r="B4" s="270"/>
      <c r="C4" s="31"/>
      <c r="D4" s="271"/>
      <c r="E4" s="271"/>
      <c r="F4" s="35"/>
      <c r="G4" s="35"/>
      <c r="H4" s="35"/>
      <c r="I4" s="35"/>
      <c r="J4" s="35"/>
      <c r="K4" s="35"/>
    </row>
    <row r="5" spans="1:12" s="2" customFormat="1" ht="12.75" customHeight="1">
      <c r="A5" s="35"/>
      <c r="B5" s="270"/>
      <c r="C5" s="31"/>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Actuals</v>
      </c>
    </row>
    <row r="6" spans="1:12" s="2" customFormat="1">
      <c r="A6" s="35"/>
      <c r="B6" s="35"/>
      <c r="C6" s="3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A7" s="35"/>
      <c r="B7" s="35"/>
      <c r="C7" s="31"/>
      <c r="D7" s="31"/>
      <c r="E7" s="31"/>
      <c r="F7" s="31"/>
      <c r="G7" s="31"/>
      <c r="H7" s="31"/>
      <c r="I7" s="31"/>
      <c r="J7" s="31"/>
      <c r="K7" s="31"/>
      <c r="L7" s="31"/>
    </row>
    <row r="8" spans="1:12">
      <c r="B8" s="14" t="s">
        <v>377</v>
      </c>
      <c r="C8" s="153" t="s">
        <v>128</v>
      </c>
      <c r="D8" s="755">
        <v>11.000400000000001</v>
      </c>
      <c r="E8" s="756">
        <v>11.300400000000002</v>
      </c>
      <c r="F8" s="756">
        <v>17.3004</v>
      </c>
      <c r="G8" s="756">
        <v>17.758000000000003</v>
      </c>
      <c r="H8" s="756">
        <v>18.3</v>
      </c>
      <c r="I8" s="756">
        <v>16.399999999999999</v>
      </c>
      <c r="J8" s="756">
        <v>16.900400000000001</v>
      </c>
      <c r="K8" s="757">
        <v>17.500400039999999</v>
      </c>
    </row>
    <row r="9" spans="1:12">
      <c r="B9" s="16" t="s">
        <v>24</v>
      </c>
      <c r="D9" s="754"/>
      <c r="E9" s="754"/>
      <c r="F9" s="754"/>
      <c r="G9" s="754"/>
      <c r="H9" s="754"/>
      <c r="I9" s="754"/>
      <c r="J9" s="754"/>
      <c r="K9" s="754"/>
    </row>
    <row r="10" spans="1:12">
      <c r="B10" t="s">
        <v>23</v>
      </c>
      <c r="C10" s="153" t="s">
        <v>128</v>
      </c>
      <c r="D10" s="679">
        <v>11.000400000000001</v>
      </c>
      <c r="E10" s="680">
        <v>11.111206659510641</v>
      </c>
      <c r="F10" s="680">
        <v>16.954391999999999</v>
      </c>
      <c r="G10" s="680">
        <v>17.402840000000001</v>
      </c>
      <c r="H10" s="680">
        <v>17.934000000000001</v>
      </c>
      <c r="I10" s="680">
        <v>18.899999999999999</v>
      </c>
      <c r="J10" s="680">
        <v>19.400400000000001</v>
      </c>
      <c r="K10" s="681">
        <v>20.000399999999999</v>
      </c>
    </row>
    <row r="11" spans="1:12">
      <c r="B11" t="s">
        <v>25</v>
      </c>
      <c r="C11" s="153" t="s">
        <v>128</v>
      </c>
      <c r="D11" s="758">
        <v>0</v>
      </c>
      <c r="E11" s="759">
        <v>0.1891933404893606</v>
      </c>
      <c r="F11" s="759">
        <v>0.34600799999999998</v>
      </c>
      <c r="G11" s="759">
        <v>0.35515999999999998</v>
      </c>
      <c r="H11" s="759">
        <v>0.36599999999999999</v>
      </c>
      <c r="I11" s="759">
        <v>-2.5</v>
      </c>
      <c r="J11" s="759">
        <v>-2.5</v>
      </c>
      <c r="K11" s="760">
        <v>-2.4999999599999998</v>
      </c>
    </row>
    <row r="12" spans="1:12">
      <c r="D12" s="754"/>
      <c r="E12" s="754"/>
      <c r="F12" s="754"/>
      <c r="G12" s="754"/>
      <c r="H12" s="754"/>
      <c r="I12" s="754"/>
      <c r="J12" s="754"/>
      <c r="K12" s="754"/>
    </row>
    <row r="13" spans="1:12">
      <c r="D13" s="754"/>
      <c r="E13" s="754"/>
      <c r="F13" s="754"/>
      <c r="G13" s="754"/>
      <c r="H13" s="754"/>
      <c r="I13" s="754"/>
      <c r="J13" s="754"/>
      <c r="K13" s="754"/>
    </row>
    <row r="14" spans="1:12">
      <c r="B14" t="s">
        <v>23</v>
      </c>
      <c r="C14" s="211" t="str">
        <f>'RFPR cover'!$C$14</f>
        <v>£m 12/13</v>
      </c>
      <c r="D14" s="17">
        <f>D10/Data!C$34</f>
        <v>10.374635724830689</v>
      </c>
      <c r="E14" s="17">
        <f>E10/Data!D$34</f>
        <v>10.259307788219138</v>
      </c>
      <c r="F14" s="17">
        <f>F10/Data!E$34</f>
        <v>15.089833190012659</v>
      </c>
      <c r="G14" s="17">
        <f>G10/Data!F$34</f>
        <v>15.029719870247224</v>
      </c>
      <c r="H14" s="17">
        <f>H10/Data!G$34</f>
        <v>15.097616483508922</v>
      </c>
      <c r="I14" s="17">
        <f>I10/Data!H$34</f>
        <v>15.720177654189627</v>
      </c>
      <c r="J14" s="17">
        <f>J10/Data!I$34</f>
        <v>15.255249326708618</v>
      </c>
      <c r="K14" s="17">
        <f>K10/Data!J$34</f>
        <v>13.933260263597719</v>
      </c>
    </row>
    <row r="15" spans="1:12">
      <c r="D15" s="754"/>
      <c r="E15" s="754"/>
      <c r="F15" s="754"/>
      <c r="G15" s="754"/>
      <c r="H15" s="754"/>
      <c r="I15" s="754"/>
      <c r="J15" s="754"/>
      <c r="K15" s="754"/>
    </row>
    <row r="16" spans="1:12">
      <c r="D16" s="754"/>
      <c r="E16" s="754"/>
      <c r="F16" s="754"/>
      <c r="G16" s="754"/>
      <c r="H16" s="754"/>
      <c r="I16" s="754"/>
      <c r="J16" s="754"/>
      <c r="K16" s="754"/>
    </row>
    <row r="17" spans="2:11" s="2" customFormat="1">
      <c r="B17" s="14" t="s">
        <v>311</v>
      </c>
      <c r="C17" s="211" t="str">
        <f>'RFPR cover'!$C$14</f>
        <v>£m 12/13</v>
      </c>
      <c r="D17" s="761">
        <v>15.825859714506272</v>
      </c>
      <c r="E17" s="761">
        <v>15.825859714506272</v>
      </c>
      <c r="F17" s="761">
        <v>15.825859714506272</v>
      </c>
      <c r="G17" s="761">
        <v>11.599633422263759</v>
      </c>
      <c r="H17" s="761">
        <v>11.599633422263759</v>
      </c>
      <c r="I17" s="761">
        <v>11.599633422263759</v>
      </c>
      <c r="J17" s="761">
        <v>10.831429420077821</v>
      </c>
      <c r="K17" s="761">
        <v>9.3983021366183479</v>
      </c>
    </row>
    <row r="18" spans="2:11" s="2" customFormat="1">
      <c r="B18" s="201" t="s">
        <v>312</v>
      </c>
      <c r="C18" s="211" t="str">
        <f>'RFPR cover'!$C$14</f>
        <v>£m 12/13</v>
      </c>
      <c r="D18" s="761">
        <v>-1.1737737077574799</v>
      </c>
      <c r="E18" s="761">
        <v>-1.1737737077574799</v>
      </c>
      <c r="F18" s="761">
        <v>-1.1737737077574799</v>
      </c>
      <c r="G18" s="761">
        <v>-5.4</v>
      </c>
      <c r="H18" s="761">
        <v>-5.4</v>
      </c>
      <c r="I18" s="761">
        <v>-5.4</v>
      </c>
      <c r="J18" s="761">
        <v>-6.1682040021858526</v>
      </c>
      <c r="K18" s="761">
        <v>-6.1682040021858526</v>
      </c>
    </row>
    <row r="19" spans="2:11" s="2" customFormat="1">
      <c r="B19" s="14" t="s">
        <v>313</v>
      </c>
      <c r="C19" s="211" t="str">
        <f>'RFPR cover'!$C$14</f>
        <v>£m 12/13</v>
      </c>
      <c r="D19" s="17">
        <f>D17-D18</f>
        <v>16.999633422263752</v>
      </c>
      <c r="E19" s="17">
        <f t="shared" ref="E19:K19" si="1">E17-E18</f>
        <v>16.999633422263752</v>
      </c>
      <c r="F19" s="17">
        <f t="shared" si="1"/>
        <v>16.999633422263752</v>
      </c>
      <c r="G19" s="17">
        <f t="shared" si="1"/>
        <v>16.999633422263759</v>
      </c>
      <c r="H19" s="17">
        <f t="shared" si="1"/>
        <v>16.999633422263759</v>
      </c>
      <c r="I19" s="17">
        <f t="shared" si="1"/>
        <v>16.999633422263759</v>
      </c>
      <c r="J19" s="17">
        <f t="shared" si="1"/>
        <v>16.999633422263674</v>
      </c>
      <c r="K19" s="17">
        <f t="shared" si="1"/>
        <v>15.566506138804201</v>
      </c>
    </row>
    <row r="20" spans="2:11" s="2" customFormat="1">
      <c r="B20" s="14"/>
      <c r="C20" s="14"/>
      <c r="D20" s="14"/>
      <c r="E20" s="14"/>
      <c r="F20" s="14"/>
      <c r="G20" s="14"/>
      <c r="H20" s="14"/>
      <c r="I20" s="14"/>
      <c r="J20" s="14"/>
      <c r="K20" s="14"/>
    </row>
    <row r="21" spans="2:11" s="2" customFormat="1">
      <c r="B21" s="14"/>
      <c r="C21" s="14"/>
      <c r="D21" s="994" t="s">
        <v>118</v>
      </c>
      <c r="E21" s="14"/>
      <c r="F21" s="14"/>
      <c r="G21" s="14"/>
      <c r="H21" s="14"/>
      <c r="I21" s="14"/>
      <c r="J21" s="14"/>
      <c r="K21" s="14"/>
    </row>
    <row r="22" spans="2:11" s="2" customFormat="1" ht="12.75" customHeight="1">
      <c r="B22" s="14"/>
      <c r="C22" s="14"/>
      <c r="D22" s="995"/>
      <c r="E22" s="14"/>
      <c r="F22" s="14"/>
      <c r="G22" s="14"/>
      <c r="H22" s="14"/>
      <c r="I22" s="14"/>
      <c r="J22" s="14"/>
      <c r="K22" s="14"/>
    </row>
    <row r="23" spans="2:11">
      <c r="C23" s="14"/>
      <c r="D23" s="996"/>
      <c r="E23" s="14"/>
    </row>
    <row r="24" spans="2:11">
      <c r="B24" s="14" t="s">
        <v>117</v>
      </c>
      <c r="C24" s="14"/>
      <c r="D24" s="525">
        <v>43555</v>
      </c>
    </row>
    <row r="25" spans="2:11">
      <c r="B25" s="14"/>
      <c r="C25" s="14"/>
      <c r="D25" s="40"/>
      <c r="E25" s="41"/>
      <c r="F25" s="41"/>
    </row>
    <row r="26" spans="2:11">
      <c r="B26" s="201" t="s">
        <v>310</v>
      </c>
      <c r="C26" s="14"/>
      <c r="D26" s="364" t="s">
        <v>648</v>
      </c>
      <c r="E26" s="41"/>
      <c r="F26" s="41"/>
    </row>
    <row r="27" spans="2:11">
      <c r="B27" s="201"/>
      <c r="C27" s="14"/>
      <c r="D27" s="40"/>
      <c r="E27" s="41"/>
      <c r="F27" s="41"/>
    </row>
    <row r="28" spans="2:11">
      <c r="B28" s="14"/>
      <c r="D28" s="363" t="s">
        <v>280</v>
      </c>
      <c r="E28" s="41"/>
      <c r="F28" s="41"/>
    </row>
    <row r="29" spans="2:11">
      <c r="B29" t="s">
        <v>26</v>
      </c>
      <c r="D29" s="761">
        <v>195.98379</v>
      </c>
    </row>
    <row r="30" spans="2:11">
      <c r="B30" t="s">
        <v>27</v>
      </c>
      <c r="D30" s="761">
        <v>1282.4162100000001</v>
      </c>
    </row>
    <row r="31" spans="2:11">
      <c r="D31" s="754"/>
    </row>
    <row r="32" spans="2:11">
      <c r="B32" t="s">
        <v>28</v>
      </c>
      <c r="D32" s="761">
        <v>203.5</v>
      </c>
    </row>
    <row r="33" spans="2:4">
      <c r="B33" t="s">
        <v>29</v>
      </c>
      <c r="D33" s="761">
        <v>1205.4000000000001</v>
      </c>
    </row>
    <row r="34" spans="2:4">
      <c r="D34" s="754"/>
    </row>
    <row r="35" spans="2:4">
      <c r="B35" s="43" t="s">
        <v>31</v>
      </c>
      <c r="D35" s="17">
        <f>D29-D32</f>
        <v>-7.5162100000000009</v>
      </c>
    </row>
    <row r="36" spans="2:4">
      <c r="B36" s="43" t="s">
        <v>30</v>
      </c>
      <c r="D36" s="17">
        <f>D30-D33</f>
        <v>77.016210000000001</v>
      </c>
    </row>
    <row r="37" spans="2:4">
      <c r="D37" s="754"/>
    </row>
    <row r="38" spans="2:4">
      <c r="B38" t="s">
        <v>32</v>
      </c>
      <c r="D38" s="761">
        <v>77.016210000000001</v>
      </c>
    </row>
    <row r="39" spans="2:4">
      <c r="B39" t="s">
        <v>33</v>
      </c>
      <c r="D39" s="761">
        <v>-7.5162100000000009</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activeCell="I31" sqref="I31"/>
    </sheetView>
  </sheetViews>
  <sheetFormatPr defaultRowHeight="12.75"/>
  <cols>
    <col min="1" max="1" width="8.375" customWidth="1"/>
    <col min="2" max="2" width="70.75" customWidth="1"/>
    <col min="3" max="3" width="14.125" customWidth="1"/>
    <col min="4" max="11" width="11.125" customWidth="1"/>
    <col min="12" max="12" width="5" customWidth="1"/>
  </cols>
  <sheetData>
    <row r="1" spans="1:19" s="31" customFormat="1" ht="20.25">
      <c r="A1" s="911" t="s">
        <v>256</v>
      </c>
      <c r="B1" s="921"/>
      <c r="C1" s="257"/>
      <c r="D1" s="257"/>
      <c r="E1" s="257"/>
      <c r="F1" s="257"/>
      <c r="G1" s="257"/>
      <c r="H1" s="257"/>
      <c r="I1" s="258"/>
      <c r="J1" s="258"/>
      <c r="K1" s="259"/>
      <c r="L1" s="365"/>
      <c r="M1" s="33"/>
      <c r="N1" s="33"/>
      <c r="O1" s="32" t="s">
        <v>84</v>
      </c>
      <c r="P1" s="33"/>
      <c r="Q1" s="33"/>
      <c r="R1" s="33"/>
      <c r="S1" s="33"/>
    </row>
    <row r="2" spans="1:19" s="31" customFormat="1" ht="20.25">
      <c r="A2" s="914" t="str">
        <f>'RFPR cover'!C5</f>
        <v>ENWL</v>
      </c>
      <c r="B2" s="906"/>
      <c r="C2" s="29"/>
      <c r="D2" s="29"/>
      <c r="E2" s="29"/>
      <c r="F2" s="29"/>
      <c r="G2" s="29"/>
      <c r="H2" s="29"/>
      <c r="I2" s="27"/>
      <c r="J2" s="27"/>
      <c r="K2" s="27"/>
      <c r="L2" s="124"/>
      <c r="M2" s="33"/>
      <c r="N2" s="33"/>
      <c r="O2" s="32" t="s">
        <v>84</v>
      </c>
      <c r="P2" s="33"/>
      <c r="Q2" s="33"/>
      <c r="R2" s="33"/>
      <c r="S2" s="33"/>
    </row>
    <row r="3" spans="1:19" s="31" customFormat="1" ht="20.25">
      <c r="A3" s="917">
        <f>'RFPR cover'!C7</f>
        <v>2023</v>
      </c>
      <c r="B3" s="924"/>
      <c r="C3" s="261"/>
      <c r="D3" s="261"/>
      <c r="E3" s="261"/>
      <c r="F3" s="261"/>
      <c r="G3" s="261"/>
      <c r="H3" s="261"/>
      <c r="I3" s="256"/>
      <c r="J3" s="256"/>
      <c r="K3" s="256"/>
      <c r="L3" s="262"/>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Actuals</v>
      </c>
      <c r="M5" s="33"/>
      <c r="N5" s="33"/>
      <c r="O5" s="32" t="s">
        <v>84</v>
      </c>
      <c r="P5" s="33"/>
      <c r="Q5" s="33"/>
      <c r="R5" s="33"/>
      <c r="S5" s="33"/>
    </row>
    <row r="6" spans="1:19" s="2" customFormat="1">
      <c r="C6" s="14"/>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9">
      <c r="D7" s="765"/>
      <c r="E7" s="765"/>
      <c r="F7" s="765"/>
      <c r="G7" s="765"/>
      <c r="H7" s="765"/>
      <c r="I7" s="765"/>
      <c r="J7" s="765"/>
      <c r="K7" s="765"/>
    </row>
    <row r="8" spans="1:19">
      <c r="B8" s="51" t="s">
        <v>451</v>
      </c>
      <c r="C8" s="211" t="str">
        <f>'RFPR cover'!$C$14</f>
        <v>£m 12/13</v>
      </c>
      <c r="D8" s="762">
        <f>(D16+D21)/Data!C34</f>
        <v>0.14586961913095095</v>
      </c>
      <c r="E8" s="762">
        <f>(E16+E21)/Data!D34</f>
        <v>0.15062570922844373</v>
      </c>
      <c r="F8" s="762">
        <f>(F16+F21)/Data!E34</f>
        <v>0.1652360576031853</v>
      </c>
      <c r="G8" s="762">
        <f>(G16+G21)/Data!F34</f>
        <v>0.16634135410489645</v>
      </c>
      <c r="H8" s="762">
        <f>(H16+H21)/Data!G34</f>
        <v>0.19344266004178251</v>
      </c>
      <c r="I8" s="762">
        <f>(I16+I21)/Data!H34</f>
        <v>0.19676721795782667</v>
      </c>
      <c r="J8" s="762">
        <f>(J16+J21)/Data!I34</f>
        <v>1.4406299938680671</v>
      </c>
      <c r="K8" s="762">
        <f>(K16+K21)/Data!J34</f>
        <v>0.3098271090472699</v>
      </c>
    </row>
    <row r="9" spans="1:19">
      <c r="D9" s="765"/>
      <c r="E9" s="765"/>
      <c r="F9" s="765"/>
      <c r="G9" s="765"/>
      <c r="H9" s="765"/>
      <c r="I9" s="765"/>
      <c r="J9" s="765"/>
      <c r="K9" s="765"/>
    </row>
    <row r="10" spans="1:19">
      <c r="B10" s="14" t="s">
        <v>435</v>
      </c>
      <c r="D10" s="765"/>
      <c r="E10" s="765"/>
      <c r="F10" s="765"/>
      <c r="G10" s="765"/>
      <c r="H10" s="765"/>
      <c r="I10" s="765"/>
      <c r="J10" s="765"/>
      <c r="K10" s="765"/>
    </row>
    <row r="11" spans="1:19">
      <c r="B11" s="44" t="s">
        <v>36</v>
      </c>
      <c r="C11" s="153" t="s">
        <v>128</v>
      </c>
      <c r="D11" s="640">
        <v>0</v>
      </c>
      <c r="E11" s="641">
        <v>0</v>
      </c>
      <c r="F11" s="641">
        <v>0</v>
      </c>
      <c r="G11" s="641">
        <v>0</v>
      </c>
      <c r="H11" s="641">
        <v>0</v>
      </c>
      <c r="I11" s="641">
        <v>0</v>
      </c>
      <c r="J11" s="641">
        <v>0</v>
      </c>
      <c r="K11" s="642">
        <v>0</v>
      </c>
    </row>
    <row r="12" spans="1:19">
      <c r="B12" s="44" t="s">
        <v>36</v>
      </c>
      <c r="C12" s="153" t="s">
        <v>128</v>
      </c>
      <c r="D12" s="640">
        <v>0</v>
      </c>
      <c r="E12" s="641">
        <v>0</v>
      </c>
      <c r="F12" s="641">
        <v>0</v>
      </c>
      <c r="G12" s="641">
        <v>0</v>
      </c>
      <c r="H12" s="641">
        <v>0</v>
      </c>
      <c r="I12" s="641">
        <v>0</v>
      </c>
      <c r="J12" s="641">
        <v>0</v>
      </c>
      <c r="K12" s="642">
        <v>0</v>
      </c>
    </row>
    <row r="13" spans="1:19">
      <c r="B13" s="44" t="s">
        <v>20</v>
      </c>
      <c r="C13" s="153" t="s">
        <v>128</v>
      </c>
      <c r="D13" s="640">
        <v>0</v>
      </c>
      <c r="E13" s="641">
        <v>0</v>
      </c>
      <c r="F13" s="641">
        <v>0</v>
      </c>
      <c r="G13" s="641">
        <v>0</v>
      </c>
      <c r="H13" s="641">
        <v>0</v>
      </c>
      <c r="I13" s="641">
        <v>0</v>
      </c>
      <c r="J13" s="641">
        <v>0</v>
      </c>
      <c r="K13" s="642">
        <v>0</v>
      </c>
    </row>
    <row r="14" spans="1:19">
      <c r="B14" s="14" t="s">
        <v>448</v>
      </c>
      <c r="C14" s="153" t="s">
        <v>128</v>
      </c>
      <c r="D14" s="762">
        <f>SUM(D11:D13)</f>
        <v>0</v>
      </c>
      <c r="E14" s="763">
        <f t="shared" ref="E14:K14" si="1">SUM(E11:E13)</f>
        <v>0</v>
      </c>
      <c r="F14" s="763">
        <f t="shared" si="1"/>
        <v>0</v>
      </c>
      <c r="G14" s="763">
        <f t="shared" si="1"/>
        <v>0</v>
      </c>
      <c r="H14" s="763">
        <f t="shared" si="1"/>
        <v>0</v>
      </c>
      <c r="I14" s="763">
        <f t="shared" si="1"/>
        <v>0</v>
      </c>
      <c r="J14" s="763">
        <f t="shared" si="1"/>
        <v>0</v>
      </c>
      <c r="K14" s="764">
        <f t="shared" si="1"/>
        <v>0</v>
      </c>
    </row>
    <row r="15" spans="1:19">
      <c r="B15" s="35" t="s">
        <v>442</v>
      </c>
      <c r="C15" s="153" t="s">
        <v>128</v>
      </c>
      <c r="D15" s="640">
        <v>0</v>
      </c>
      <c r="E15" s="641">
        <v>0</v>
      </c>
      <c r="F15" s="641">
        <v>0</v>
      </c>
      <c r="G15" s="641">
        <v>0</v>
      </c>
      <c r="H15" s="641">
        <v>0</v>
      </c>
      <c r="I15" s="641">
        <v>0</v>
      </c>
      <c r="J15" s="641">
        <v>0</v>
      </c>
      <c r="K15" s="642">
        <v>0</v>
      </c>
    </row>
    <row r="16" spans="1:19">
      <c r="B16" s="51" t="s">
        <v>449</v>
      </c>
      <c r="C16" s="153" t="s">
        <v>128</v>
      </c>
      <c r="D16" s="762">
        <f>D14-D15</f>
        <v>0</v>
      </c>
      <c r="E16" s="762">
        <f t="shared" ref="E16:K16" si="2">E14-E15</f>
        <v>0</v>
      </c>
      <c r="F16" s="762">
        <f t="shared" si="2"/>
        <v>0</v>
      </c>
      <c r="G16" s="762">
        <f t="shared" si="2"/>
        <v>0</v>
      </c>
      <c r="H16" s="762">
        <f t="shared" si="2"/>
        <v>0</v>
      </c>
      <c r="I16" s="762">
        <f t="shared" si="2"/>
        <v>0</v>
      </c>
      <c r="J16" s="762">
        <f t="shared" si="2"/>
        <v>0</v>
      </c>
      <c r="K16" s="762">
        <f t="shared" si="2"/>
        <v>0</v>
      </c>
    </row>
    <row r="18" spans="2:11">
      <c r="B18" s="14" t="s">
        <v>446</v>
      </c>
      <c r="D18" s="765"/>
      <c r="E18" s="765"/>
      <c r="F18" s="765"/>
      <c r="G18" s="765"/>
      <c r="H18" s="765"/>
      <c r="I18" s="765"/>
      <c r="J18" s="765"/>
      <c r="K18" s="765"/>
    </row>
    <row r="19" spans="2:11">
      <c r="B19" s="846" t="s">
        <v>447</v>
      </c>
      <c r="C19" s="153" t="s">
        <v>128</v>
      </c>
      <c r="D19" s="640">
        <v>0.19333499999999998</v>
      </c>
      <c r="E19" s="641">
        <v>0.20391646030378954</v>
      </c>
      <c r="F19" s="641">
        <v>0.22920156934596517</v>
      </c>
      <c r="G19" s="641">
        <v>0.237785</v>
      </c>
      <c r="H19" s="641">
        <v>0.28368476500000001</v>
      </c>
      <c r="I19" s="641">
        <v>0.29205999999999999</v>
      </c>
      <c r="J19" s="641">
        <v>2.2618239999999998</v>
      </c>
      <c r="K19" s="642">
        <v>0.54906065999999998</v>
      </c>
    </row>
    <row r="20" spans="2:11">
      <c r="B20" s="35" t="s">
        <v>442</v>
      </c>
      <c r="C20" s="153" t="s">
        <v>128</v>
      </c>
      <c r="D20" s="640">
        <v>3.8667E-2</v>
      </c>
      <c r="E20" s="641">
        <v>4.0783292060757911E-2</v>
      </c>
      <c r="F20" s="641">
        <v>4.3548298175733385E-2</v>
      </c>
      <c r="G20" s="641">
        <v>4.5179150000000001E-2</v>
      </c>
      <c r="H20" s="641">
        <v>5.3900105350000005E-2</v>
      </c>
      <c r="I20" s="641">
        <v>5.5491399999999996E-2</v>
      </c>
      <c r="J20" s="641">
        <v>0.42974656</v>
      </c>
      <c r="K20" s="642">
        <v>0.1043215254</v>
      </c>
    </row>
    <row r="21" spans="2:11">
      <c r="B21" s="51" t="s">
        <v>450</v>
      </c>
      <c r="C21" s="153" t="s">
        <v>128</v>
      </c>
      <c r="D21" s="762">
        <f>D19-D20</f>
        <v>0.15466799999999997</v>
      </c>
      <c r="E21" s="762">
        <f t="shared" ref="E21:K21" si="3">E19-E20</f>
        <v>0.16313316824303165</v>
      </c>
      <c r="F21" s="762">
        <f t="shared" si="3"/>
        <v>0.18565327117023178</v>
      </c>
      <c r="G21" s="762">
        <f t="shared" si="3"/>
        <v>0.19260585</v>
      </c>
      <c r="H21" s="762">
        <f t="shared" si="3"/>
        <v>0.22978465965</v>
      </c>
      <c r="I21" s="762">
        <f t="shared" si="3"/>
        <v>0.23656859999999999</v>
      </c>
      <c r="J21" s="762">
        <f t="shared" si="3"/>
        <v>1.8320774399999999</v>
      </c>
      <c r="K21" s="762">
        <f t="shared" si="3"/>
        <v>0.44473913459999997</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Normal="100" workbookViewId="0">
      <pane ySplit="4" topLeftCell="A44" activePane="bottomLeft" state="frozen"/>
      <selection activeCell="B75" sqref="A1:XFD1048576"/>
      <selection pane="bottomLeft" activeCell="F27" sqref="F27"/>
    </sheetView>
  </sheetViews>
  <sheetFormatPr defaultRowHeight="12.75"/>
  <cols>
    <col min="1" max="1" width="8.375" customWidth="1"/>
    <col min="2" max="2" width="35.125" customWidth="1"/>
    <col min="8" max="8" width="10.125" bestFit="1" customWidth="1"/>
    <col min="14" max="14" width="9" customWidth="1"/>
  </cols>
  <sheetData>
    <row r="1" spans="1:14" ht="20.25">
      <c r="A1" s="911" t="s">
        <v>359</v>
      </c>
      <c r="B1" s="912"/>
      <c r="C1" s="912"/>
      <c r="D1" s="912"/>
      <c r="E1" s="912"/>
      <c r="F1" s="912"/>
      <c r="G1" s="912"/>
      <c r="H1" s="912"/>
      <c r="I1" s="912"/>
      <c r="J1" s="912"/>
      <c r="K1" s="912"/>
      <c r="L1" s="912"/>
      <c r="M1" s="912"/>
      <c r="N1" s="913"/>
    </row>
    <row r="2" spans="1:14" ht="20.25">
      <c r="A2" s="914" t="str">
        <f>'RFPR cover'!C5</f>
        <v>ENWL</v>
      </c>
      <c r="B2" s="915"/>
      <c r="C2" s="915"/>
      <c r="D2" s="915"/>
      <c r="E2" s="915"/>
      <c r="F2" s="915"/>
      <c r="G2" s="915"/>
      <c r="H2" s="915"/>
      <c r="I2" s="915"/>
      <c r="J2" s="915"/>
      <c r="K2" s="915"/>
      <c r="L2" s="915"/>
      <c r="M2" s="915"/>
      <c r="N2" s="916"/>
    </row>
    <row r="3" spans="1:14" ht="20.25">
      <c r="A3" s="917">
        <f>'RFPR cover'!C7</f>
        <v>2023</v>
      </c>
      <c r="B3" s="918"/>
      <c r="C3" s="918"/>
      <c r="D3" s="918"/>
      <c r="E3" s="918"/>
      <c r="F3" s="918"/>
      <c r="G3" s="918"/>
      <c r="H3" s="918"/>
      <c r="I3" s="918"/>
      <c r="J3" s="918"/>
      <c r="K3" s="918"/>
      <c r="L3" s="918"/>
      <c r="M3" s="918"/>
      <c r="N3" s="919"/>
    </row>
    <row r="6" spans="1:14">
      <c r="A6" s="30"/>
      <c r="B6" s="21">
        <v>2018</v>
      </c>
      <c r="C6" s="20" t="s">
        <v>63</v>
      </c>
      <c r="D6" s="18"/>
      <c r="E6" s="18"/>
      <c r="F6" s="843"/>
      <c r="G6" s="18"/>
    </row>
    <row r="7" spans="1:14">
      <c r="A7" s="30"/>
      <c r="B7" s="21">
        <v>2019</v>
      </c>
      <c r="C7" s="20" t="s">
        <v>64</v>
      </c>
      <c r="D7" s="18"/>
      <c r="E7" s="18"/>
      <c r="F7" s="18"/>
      <c r="G7" s="18"/>
    </row>
    <row r="8" spans="1:14">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c r="A11" s="30"/>
      <c r="B11" s="21">
        <v>2023</v>
      </c>
      <c r="C11" s="20" t="s">
        <v>68</v>
      </c>
      <c r="D11" s="19"/>
      <c r="E11" s="19"/>
      <c r="F11" s="19"/>
    </row>
    <row r="12" spans="1:14">
      <c r="A12" s="30"/>
      <c r="B12" s="18"/>
      <c r="C12" s="18"/>
      <c r="D12" s="18"/>
      <c r="E12" s="18"/>
      <c r="F12" s="18"/>
    </row>
    <row r="13" spans="1:14" ht="75" customHeight="1">
      <c r="A13" s="30"/>
      <c r="B13" s="553" t="s">
        <v>39</v>
      </c>
      <c r="C13" s="554" t="s">
        <v>40</v>
      </c>
      <c r="D13" s="554" t="s">
        <v>191</v>
      </c>
      <c r="E13" s="554" t="s">
        <v>41</v>
      </c>
      <c r="F13" s="554" t="s">
        <v>42</v>
      </c>
      <c r="G13" s="555" t="s">
        <v>318</v>
      </c>
    </row>
    <row r="14" spans="1:14">
      <c r="A14" s="30"/>
      <c r="B14" s="163" t="s">
        <v>74</v>
      </c>
      <c r="C14" s="170">
        <v>2010</v>
      </c>
      <c r="D14" s="164" t="str">
        <f>IF(VALUE(C14)&lt;='RFPR cover'!$C$7,"Actual","Forecast")</f>
        <v>Actual</v>
      </c>
      <c r="E14" s="375">
        <v>215.767</v>
      </c>
      <c r="F14" s="500">
        <v>221.75</v>
      </c>
      <c r="G14" s="165">
        <v>0.28000000000000003</v>
      </c>
      <c r="H14" s="844"/>
      <c r="J14" s="845"/>
    </row>
    <row r="15" spans="1:14">
      <c r="A15" s="30"/>
      <c r="B15" s="166" t="s">
        <v>75</v>
      </c>
      <c r="C15" s="171">
        <v>2011</v>
      </c>
      <c r="D15" s="167" t="str">
        <f>IF(VALUE(C15)&lt;='RFPR cover'!$C$7,"Actual","Forecast")</f>
        <v>Actual</v>
      </c>
      <c r="E15" s="376">
        <v>226.47499999999999</v>
      </c>
      <c r="F15" s="501">
        <v>233.45</v>
      </c>
      <c r="G15" s="168">
        <v>0.28000000000000003</v>
      </c>
      <c r="H15" s="844"/>
      <c r="J15" s="845"/>
    </row>
    <row r="16" spans="1:14" ht="14.25" customHeight="1">
      <c r="A16" s="30"/>
      <c r="B16" s="166" t="s">
        <v>76</v>
      </c>
      <c r="C16" s="171">
        <v>2012</v>
      </c>
      <c r="D16" s="167" t="str">
        <f>IF(VALUE(C16)&lt;='RFPR cover'!$C$7,"Actual","Forecast")</f>
        <v>Actual</v>
      </c>
      <c r="E16" s="376">
        <v>237.34200000000001</v>
      </c>
      <c r="F16" s="501">
        <v>241.65</v>
      </c>
      <c r="G16" s="168">
        <v>0.26</v>
      </c>
      <c r="H16" s="844"/>
      <c r="J16" s="845"/>
    </row>
    <row r="17" spans="2:10">
      <c r="B17" s="166" t="s">
        <v>77</v>
      </c>
      <c r="C17" s="171">
        <v>2013</v>
      </c>
      <c r="D17" s="167" t="str">
        <f>IF(VALUE(C17)&lt;='RFPR cover'!$C$7,"Actual","Forecast")</f>
        <v>Actual</v>
      </c>
      <c r="E17" s="376">
        <v>244.67500000000001</v>
      </c>
      <c r="F17" s="501">
        <v>249.1</v>
      </c>
      <c r="G17" s="168">
        <v>0.24</v>
      </c>
      <c r="H17" s="844"/>
      <c r="J17" s="845"/>
    </row>
    <row r="18" spans="2:10">
      <c r="B18" s="166" t="s">
        <v>78</v>
      </c>
      <c r="C18" s="171">
        <v>2014</v>
      </c>
      <c r="D18" s="167" t="str">
        <f>IF(VALUE(C18)&lt;='RFPR cover'!$C$7,"Actual","Forecast")</f>
        <v>Actual</v>
      </c>
      <c r="E18" s="376">
        <v>251.733</v>
      </c>
      <c r="F18" s="501">
        <v>255.25</v>
      </c>
      <c r="G18" s="168">
        <v>0.23</v>
      </c>
      <c r="H18" s="844"/>
      <c r="I18" s="519"/>
      <c r="J18" s="845"/>
    </row>
    <row r="19" spans="2:10">
      <c r="B19" s="166" t="s">
        <v>79</v>
      </c>
      <c r="C19" s="171">
        <v>2015</v>
      </c>
      <c r="D19" s="167" t="str">
        <f>IF(VALUE(C19)&lt;='RFPR cover'!$C$7,"Actual","Forecast")</f>
        <v>Actual</v>
      </c>
      <c r="E19" s="376">
        <v>256.66699999999997</v>
      </c>
      <c r="F19" s="501">
        <v>257.55</v>
      </c>
      <c r="G19" s="168">
        <v>0.21</v>
      </c>
      <c r="H19" s="844"/>
      <c r="I19" s="519"/>
      <c r="J19" s="845"/>
    </row>
    <row r="20" spans="2:10">
      <c r="B20" s="166" t="s">
        <v>80</v>
      </c>
      <c r="C20" s="171">
        <v>2016</v>
      </c>
      <c r="D20" s="167" t="str">
        <f>IF(VALUE(C20)&lt;='RFPR cover'!$C$7,"Actual","Forecast")</f>
        <v>Actual</v>
      </c>
      <c r="E20" s="376">
        <v>259.43299999999999</v>
      </c>
      <c r="F20" s="501">
        <v>261.25</v>
      </c>
      <c r="G20" s="168">
        <v>0.2</v>
      </c>
      <c r="H20" s="844"/>
      <c r="I20" s="519"/>
      <c r="J20" s="845"/>
    </row>
    <row r="21" spans="2:10">
      <c r="B21" s="166" t="s">
        <v>81</v>
      </c>
      <c r="C21" s="171">
        <v>2017</v>
      </c>
      <c r="D21" s="167" t="str">
        <f>IF(VALUE(C21)&lt;='RFPR cover'!$C$7,"Actual","Forecast")</f>
        <v>Actual</v>
      </c>
      <c r="E21" s="376">
        <v>264.99200000000002</v>
      </c>
      <c r="F21" s="501">
        <v>269.95000000000005</v>
      </c>
      <c r="G21" s="168">
        <v>0.2</v>
      </c>
      <c r="H21" s="844"/>
      <c r="I21" s="519"/>
      <c r="J21" s="845"/>
    </row>
    <row r="22" spans="2:10">
      <c r="B22" s="166" t="s">
        <v>63</v>
      </c>
      <c r="C22" s="171">
        <v>2018</v>
      </c>
      <c r="D22" s="167" t="str">
        <f>IF(VALUE(C22)&lt;='RFPR cover'!$C$7,"Actual","Forecast")</f>
        <v>Actual</v>
      </c>
      <c r="E22" s="376">
        <v>274.90800000000002</v>
      </c>
      <c r="F22" s="501">
        <v>279</v>
      </c>
      <c r="G22" s="168">
        <v>0.19</v>
      </c>
      <c r="H22" s="844"/>
      <c r="I22" s="519"/>
      <c r="J22" s="845"/>
    </row>
    <row r="23" spans="2:10">
      <c r="B23" s="502" t="s">
        <v>64</v>
      </c>
      <c r="C23" s="503">
        <v>2019</v>
      </c>
      <c r="D23" s="167" t="str">
        <f>IF(VALUE(C23)&lt;='RFPR cover'!$C$7,"Actual","Forecast")</f>
        <v>Actual</v>
      </c>
      <c r="E23" s="376">
        <v>283.30799999999999</v>
      </c>
      <c r="F23" s="501">
        <v>286.64999999999998</v>
      </c>
      <c r="G23" s="168">
        <v>0.19</v>
      </c>
      <c r="H23" s="844"/>
      <c r="J23" s="845"/>
    </row>
    <row r="24" spans="2:10">
      <c r="B24" s="502" t="s">
        <v>65</v>
      </c>
      <c r="C24" s="503">
        <v>2020</v>
      </c>
      <c r="D24" s="167" t="str">
        <f>IF(VALUE(C24)&lt;='RFPR cover'!$C$7,"Actual","Forecast")</f>
        <v>Actual</v>
      </c>
      <c r="E24" s="376">
        <v>290.642</v>
      </c>
      <c r="F24" s="376">
        <v>292.60000000000002</v>
      </c>
      <c r="G24" s="168">
        <v>0.19</v>
      </c>
    </row>
    <row r="25" spans="2:10">
      <c r="B25" s="502" t="s">
        <v>66</v>
      </c>
      <c r="C25" s="503">
        <v>2021</v>
      </c>
      <c r="D25" s="167" t="str">
        <f>IF(VALUE(C25)&lt;='RFPR cover'!$C$7,"Actual","Forecast")</f>
        <v>Actual</v>
      </c>
      <c r="E25" s="376">
        <v>294.16699999999997</v>
      </c>
      <c r="F25" s="376">
        <v>299</v>
      </c>
      <c r="G25" s="168">
        <v>0.19</v>
      </c>
      <c r="J25" s="845"/>
    </row>
    <row r="26" spans="2:10">
      <c r="B26" s="502" t="s">
        <v>67</v>
      </c>
      <c r="C26" s="503">
        <v>2022</v>
      </c>
      <c r="D26" s="167" t="str">
        <f>IF(VALUE(C26)&lt;='RFPR cover'!$C$7,"Actual","Forecast")</f>
        <v>Actual</v>
      </c>
      <c r="E26" s="376">
        <v>311.15800000000002</v>
      </c>
      <c r="F26" s="376">
        <v>329.05</v>
      </c>
      <c r="G26" s="168">
        <v>0.19</v>
      </c>
      <c r="H26" s="844"/>
      <c r="J26" s="845"/>
    </row>
    <row r="27" spans="2:10">
      <c r="B27" s="502" t="s">
        <v>68</v>
      </c>
      <c r="C27" s="503">
        <v>2023</v>
      </c>
      <c r="D27" s="167" t="str">
        <f>IF(VALUE(C27)&lt;='RFPR cover'!$C$7,"Actual","Forecast")</f>
        <v>Actual</v>
      </c>
      <c r="E27" s="948">
        <v>351.21699999999998</v>
      </c>
      <c r="F27" s="948">
        <v>369.68599999999998</v>
      </c>
      <c r="G27" s="168">
        <v>0.19</v>
      </c>
      <c r="H27" s="844"/>
      <c r="J27" s="845"/>
    </row>
    <row r="28" spans="2:10">
      <c r="B28" s="502" t="s">
        <v>204</v>
      </c>
      <c r="C28" s="503">
        <v>2024</v>
      </c>
      <c r="D28" s="167" t="str">
        <f>IF(VALUE(C28)&lt;='RFPR cover'!$C$7,"Actual","Forecast")</f>
        <v>Forecast</v>
      </c>
      <c r="E28" s="378"/>
      <c r="F28" s="378"/>
      <c r="G28" s="168">
        <v>0.19</v>
      </c>
    </row>
    <row r="29" spans="2:10">
      <c r="B29" s="502" t="s">
        <v>205</v>
      </c>
      <c r="C29" s="503">
        <v>2025</v>
      </c>
      <c r="D29" s="167" t="str">
        <f>IF(VALUE(C29)&lt;='RFPR cover'!$C$7,"Actual","Forecast")</f>
        <v>Forecast</v>
      </c>
      <c r="E29" s="378"/>
      <c r="F29" s="378"/>
      <c r="G29" s="168">
        <v>0.19</v>
      </c>
    </row>
    <row r="30" spans="2:10">
      <c r="B30" s="504" t="s">
        <v>206</v>
      </c>
      <c r="C30" s="505">
        <v>2026</v>
      </c>
      <c r="D30" s="169" t="str">
        <f>IF(VALUE(C30)&lt;='RFPR cover'!$C$7,"Actual","Forecast")</f>
        <v>Forecast</v>
      </c>
      <c r="E30" s="377"/>
      <c r="F30" s="377"/>
      <c r="G30" s="168">
        <v>0.19</v>
      </c>
    </row>
    <row r="31" spans="2:10">
      <c r="B31" s="89"/>
      <c r="C31" s="67"/>
      <c r="D31" s="67"/>
      <c r="E31" s="67"/>
      <c r="F31" s="67"/>
    </row>
    <row r="32" spans="2:10">
      <c r="B32" s="89"/>
      <c r="C32" s="344" t="str">
        <f>IF(C33&lt;='RFPR cover'!$C$7,"Actuals","Forecast")</f>
        <v>Actuals</v>
      </c>
      <c r="D32" s="345" t="str">
        <f>IF(D33&lt;='RFPR cover'!$C$7,"Actuals","Forecast")</f>
        <v>Actuals</v>
      </c>
      <c r="E32" s="345" t="str">
        <f>IF(E33&lt;='RFPR cover'!$C$7,"Actuals","Forecast")</f>
        <v>Actuals</v>
      </c>
      <c r="F32" s="345" t="str">
        <f>IF(F33&lt;='RFPR cover'!$C$7,"Actuals","Forecast")</f>
        <v>Actuals</v>
      </c>
      <c r="G32" s="345" t="str">
        <f>IF(G33&lt;='RFPR cover'!$C$7,"Actuals","Forecast")</f>
        <v>Actuals</v>
      </c>
      <c r="H32" s="345" t="str">
        <f>IF(H33&lt;='RFPR cover'!$C$7,"Actuals","Forecast")</f>
        <v>Actuals</v>
      </c>
      <c r="I32" s="345" t="str">
        <f>IF(I33&lt;='RFPR cover'!$C$7,"Actuals","Forecast")</f>
        <v>Actuals</v>
      </c>
      <c r="J32" s="346" t="str">
        <f>IF(J33&lt;='RFPR cover'!$C$7,"Actuals","Forecast")</f>
        <v>Actuals</v>
      </c>
    </row>
    <row r="33" spans="2:13" ht="15.75" customHeight="1">
      <c r="B33" s="290"/>
      <c r="C33" s="91">
        <f>'RFPR cover'!$C$13</f>
        <v>2016</v>
      </c>
      <c r="D33" s="92">
        <f t="shared" ref="D33:J33" si="0">C33+1</f>
        <v>2017</v>
      </c>
      <c r="E33" s="92">
        <f t="shared" si="0"/>
        <v>2018</v>
      </c>
      <c r="F33" s="92">
        <f t="shared" si="0"/>
        <v>2019</v>
      </c>
      <c r="G33" s="92">
        <f t="shared" si="0"/>
        <v>2020</v>
      </c>
      <c r="H33" s="92">
        <f t="shared" si="0"/>
        <v>2021</v>
      </c>
      <c r="I33" s="92">
        <f t="shared" si="0"/>
        <v>2022</v>
      </c>
      <c r="J33" s="317">
        <f t="shared" si="0"/>
        <v>2023</v>
      </c>
    </row>
    <row r="34" spans="2:13" ht="15.75" customHeight="1">
      <c r="B34" s="498" t="s">
        <v>360</v>
      </c>
      <c r="C34" s="496">
        <f>INDEX(Data!$E$14:$E$30,MATCH(C$33,Data!$C$14:$C$30,0),0)/IF('RFPR cover'!$C$6="ED1",Data!$E$17,Data!$E$14)</f>
        <v>1.0603167467048125</v>
      </c>
      <c r="D34" s="493">
        <f>INDEX(Data!$E$14:$E$30,MATCH(D$33,Data!$C$14:$C$30,0),0)/IF('RFPR cover'!$C$6="ED1",Data!$E$17,Data!$E$14)</f>
        <v>1.0830366813119445</v>
      </c>
      <c r="E34" s="493">
        <f>INDEX(Data!$E$14:$E$30,MATCH(E$33,Data!$C$14:$C$30,0),0)/IF('RFPR cover'!$C$6="ED1",Data!$E$17,Data!$E$14)</f>
        <v>1.1235639113109226</v>
      </c>
      <c r="F34" s="493">
        <f>INDEX(Data!$E$14:$E$30,MATCH(F$33,Data!$C$14:$C$30,0),0)/IF('RFPR cover'!$C$6="ED1",Data!$E$17,Data!$E$14)</f>
        <v>1.1578951670583426</v>
      </c>
      <c r="G34" s="493">
        <f>INDEX(Data!$E$14:$E$30,MATCH(G$33,Data!$C$14:$C$30,0),0)/IF('RFPR cover'!$C$6="ED1",Data!$E$17,Data!$E$14)</f>
        <v>1.1878696229692449</v>
      </c>
      <c r="H34" s="493">
        <f>INDEX(Data!$E$14:$E$30,MATCH(H$33,Data!$C$14:$C$30,0),0)/IF('RFPR cover'!$C$6="ED1",Data!$E$17,Data!$E$14)</f>
        <v>1.2022764892203943</v>
      </c>
      <c r="I34" s="494">
        <f>INDEX(Data!$E$14:$E$30,MATCH(I$33,Data!$C$14:$C$30,0),0)/IF('RFPR cover'!$C$6="ED1",Data!$E$17,Data!$E$14)</f>
        <v>1.2717196280780627</v>
      </c>
      <c r="J34" s="495">
        <f>INDEX(Data!$E$14:$E$30,MATCH(J$33,Data!$C$14:$C$30,0),0)/IF('RFPR cover'!$C$6="ED1",Data!$E$17,Data!$E$14)</f>
        <v>1.4354429345049555</v>
      </c>
    </row>
    <row r="35" spans="2:13" ht="15.75" customHeight="1">
      <c r="B35" s="499" t="s">
        <v>42</v>
      </c>
      <c r="C35" s="497">
        <f>INDEX(Data!$F$14:$F$30,MATCH(C$33,Data!$C$14:$C$30,0),0)/IF('RFPR cover'!$C$6="ED1",Data!$E$17,Data!$E$14)</f>
        <v>1.0677429242873198</v>
      </c>
      <c r="D35" s="497">
        <f>INDEX(Data!$F$14:$F$30,MATCH(D$33,Data!$C$14:$C$30,0),0)/IF('RFPR cover'!$C$6="ED1",Data!$E$17,Data!$E$14)</f>
        <v>1.1033002963114336</v>
      </c>
      <c r="E35" s="497">
        <f>INDEX(Data!$F$14:$F$30,MATCH(E$33,Data!$C$14:$C$30,0),0)/IF('RFPR cover'!$C$6="ED1",Data!$E$17,Data!$E$14)</f>
        <v>1.1402881373250229</v>
      </c>
      <c r="F35" s="497">
        <f>INDEX(Data!$F$14:$F$30,MATCH(F$33,Data!$C$14:$C$30,0),0)/IF('RFPR cover'!$C$6="ED1",Data!$E$17,Data!$E$14)</f>
        <v>1.171554102380709</v>
      </c>
      <c r="G35" s="497">
        <f>INDEX(Data!$F$14:$F$30,MATCH(G$33,Data!$C$14:$C$30,0),0)/IF('RFPR cover'!$C$6="ED1",Data!$E$17,Data!$E$14)</f>
        <v>1.1958720752017984</v>
      </c>
      <c r="H35" s="497">
        <f>INDEX(Data!$F$14:$F$30,MATCH(H$33,Data!$C$14:$C$30,0),0)/IF('RFPR cover'!$C$6="ED1",Data!$E$17,Data!$E$14)</f>
        <v>1.2220292224379279</v>
      </c>
      <c r="I35" s="497">
        <f>INDEX(Data!$F$14:$F$30,MATCH(I$33,Data!$C$14:$C$30,0),0)/IF('RFPR cover'!$C$6="ED1",Data!$E$17,Data!$E$14)</f>
        <v>1.3448452028200675</v>
      </c>
      <c r="J35" s="497">
        <f>INDEX(Data!$F$14:$F$30,MATCH(J$33,Data!$C$14:$C$30,0),0)/IF('RFPR cover'!$C$6="ED1",Data!$E$17,Data!$E$14)</f>
        <v>1.5109267395524675</v>
      </c>
    </row>
    <row r="36" spans="2:13">
      <c r="B36" s="499" t="s">
        <v>490</v>
      </c>
      <c r="C36" s="497">
        <f>INDEX(Data!$E$14:$E$30,MATCH(C$33,Data!$C$14:$C$30,0))/INDEX(Data!$E$14:$E$30,MATCH(C$33-1,Data!$C$14:$C$30,0))</f>
        <v>1.0107766093810269</v>
      </c>
      <c r="D36" s="497">
        <f>INDEX(Data!$E$14:$E$30,MATCH(D$33,Data!$C$14:$C$30,0))/INDEX(Data!$E$14:$E$30,MATCH(D$33-1,Data!$C$14:$C$30,0))</f>
        <v>1.0214274976583551</v>
      </c>
      <c r="E36" s="497">
        <f>INDEX(Data!$E$14:$E$30,MATCH(E$33,Data!$C$14:$C$30,0))/INDEX(Data!$E$14:$E$30,MATCH(E$33-1,Data!$C$14:$C$30,0))</f>
        <v>1.0374199975848328</v>
      </c>
      <c r="F36" s="497">
        <f>INDEX(Data!$E$14:$E$30,MATCH(F$33,Data!$C$14:$C$30,0))/INDEX(Data!$E$14:$E$30,MATCH(F$33-1,Data!$C$14:$C$30,0))</f>
        <v>1.0305556768082411</v>
      </c>
      <c r="G36" s="497">
        <f>INDEX(Data!$E$14:$E$30,MATCH(G$33,Data!$C$14:$C$30,0))/INDEX(Data!$E$14:$E$30,MATCH(G$33-1,Data!$C$14:$C$30,0))</f>
        <v>1.0258870204865376</v>
      </c>
      <c r="H36" s="497">
        <f>INDEX(Data!$E$14:$E$30,MATCH(H$33,Data!$C$14:$C$30,0))/INDEX(Data!$E$14:$E$30,MATCH(H$33-1,Data!$C$14:$C$30,0))</f>
        <v>1.0121283228163858</v>
      </c>
      <c r="I36" s="497">
        <f>INDEX(Data!$E$14:$E$30,MATCH(I$33,Data!$C$14:$C$30,0))/INDEX(Data!$E$14:$E$30,MATCH(I$33-1,Data!$C$14:$C$30,0))</f>
        <v>1.057759707921011</v>
      </c>
      <c r="J36" s="497">
        <f>INDEX(Data!$E$14:$E$30,MATCH(J$33,Data!$C$14:$C$30,0))/INDEX(Data!$E$14:$E$30,MATCH(J$33-1,Data!$C$14:$C$30,0))</f>
        <v>1.1287416682200038</v>
      </c>
    </row>
    <row r="37" spans="2:13" ht="15.75" customHeight="1">
      <c r="B37" s="14" t="s">
        <v>273</v>
      </c>
      <c r="F37" s="519"/>
    </row>
    <row r="38" spans="2:13">
      <c r="C38" s="512" t="s">
        <v>274</v>
      </c>
      <c r="D38" s="118">
        <v>2017</v>
      </c>
      <c r="E38" s="119">
        <f t="shared" ref="E38:J38" si="1">D38+1</f>
        <v>2018</v>
      </c>
      <c r="F38" s="119">
        <f t="shared" si="1"/>
        <v>2019</v>
      </c>
      <c r="G38" s="119">
        <f t="shared" si="1"/>
        <v>2020</v>
      </c>
      <c r="H38" s="119">
        <f t="shared" si="1"/>
        <v>2021</v>
      </c>
      <c r="I38" s="119">
        <f t="shared" si="1"/>
        <v>2022</v>
      </c>
      <c r="J38" s="196">
        <f t="shared" si="1"/>
        <v>2023</v>
      </c>
      <c r="K38" s="964" t="s">
        <v>370</v>
      </c>
      <c r="L38" s="964"/>
      <c r="M38" s="964"/>
    </row>
    <row r="39" spans="2:13">
      <c r="B39" t="s">
        <v>371</v>
      </c>
      <c r="C39" s="201"/>
      <c r="D39" s="766"/>
      <c r="E39" s="766"/>
      <c r="F39" s="766"/>
      <c r="G39" s="766"/>
      <c r="H39" s="766"/>
      <c r="I39" s="766"/>
      <c r="J39" s="766"/>
      <c r="K39" s="965"/>
      <c r="L39" s="965"/>
      <c r="M39" s="965"/>
    </row>
    <row r="41" spans="2:13">
      <c r="B41" s="14" t="s">
        <v>275</v>
      </c>
    </row>
    <row r="42" spans="2:13">
      <c r="C42" s="511" t="s">
        <v>276</v>
      </c>
      <c r="D42" s="118">
        <v>2017</v>
      </c>
      <c r="E42" s="119">
        <f t="shared" ref="E42:J42" si="2">D42+1</f>
        <v>2018</v>
      </c>
      <c r="F42" s="119">
        <f t="shared" si="2"/>
        <v>2019</v>
      </c>
      <c r="G42" s="119">
        <f t="shared" si="2"/>
        <v>2020</v>
      </c>
      <c r="H42" s="119">
        <f t="shared" si="2"/>
        <v>2021</v>
      </c>
      <c r="I42" s="119">
        <f t="shared" si="2"/>
        <v>2022</v>
      </c>
      <c r="J42" s="196">
        <f t="shared" si="2"/>
        <v>2023</v>
      </c>
    </row>
    <row r="43" spans="2:13">
      <c r="B43" t="s">
        <v>277</v>
      </c>
      <c r="D43" s="572"/>
      <c r="E43" s="573"/>
      <c r="F43" s="573"/>
      <c r="G43" s="573"/>
      <c r="H43" s="573"/>
      <c r="I43" s="573"/>
      <c r="J43" s="573"/>
    </row>
    <row r="45" spans="2:13">
      <c r="B45" s="316" t="str">
        <f>"Selected Capitalisation rates for "&amp;'RFPR cover'!C5</f>
        <v>Selected Capitalisation rates for ENWL</v>
      </c>
      <c r="C45" s="272"/>
      <c r="D45" s="272"/>
      <c r="E45" s="272"/>
      <c r="F45" s="272"/>
      <c r="G45" s="272"/>
      <c r="H45" s="272"/>
      <c r="I45" s="272"/>
      <c r="J45" s="272"/>
      <c r="K45" s="272"/>
      <c r="L45" s="272"/>
      <c r="M45" s="285"/>
    </row>
    <row r="46" spans="2:13">
      <c r="B46" s="202"/>
      <c r="C46" s="42"/>
      <c r="D46" s="42"/>
      <c r="E46" s="42"/>
      <c r="F46" s="42"/>
      <c r="G46" s="42"/>
      <c r="H46" s="42"/>
      <c r="I46" s="42"/>
      <c r="J46" s="42"/>
      <c r="K46" s="42"/>
      <c r="L46" s="42"/>
      <c r="M46" s="203"/>
    </row>
    <row r="47" spans="2:13">
      <c r="B47" s="202"/>
      <c r="C47" s="315" t="s">
        <v>250</v>
      </c>
      <c r="D47" s="42"/>
      <c r="E47" s="42"/>
      <c r="F47" s="42"/>
      <c r="G47" s="42"/>
      <c r="H47" s="42"/>
      <c r="I47" s="42"/>
      <c r="J47" s="42"/>
      <c r="K47" s="42"/>
      <c r="L47" s="42"/>
      <c r="M47" s="203"/>
    </row>
    <row r="48" spans="2:13">
      <c r="B48" s="318" t="str">
        <f>INDEX($G$54:$G$57,MATCH(LEFT('RFPR cover'!$C$6,2),Data!$E$54:$E$57,0),0)</f>
        <v>Totex</v>
      </c>
      <c r="C48" s="314">
        <f>INDEX($F$73:$F$100,MATCH('RFPR cover'!$C$5,Data!$B$73:$B$100,0),0)</f>
        <v>0.68</v>
      </c>
      <c r="D48" s="42"/>
      <c r="E48" s="42"/>
      <c r="F48" s="42"/>
      <c r="G48" s="42"/>
      <c r="H48" s="42"/>
      <c r="I48" s="42"/>
      <c r="J48" s="42"/>
      <c r="K48" s="42"/>
      <c r="L48" s="42"/>
      <c r="M48" s="203"/>
    </row>
    <row r="49" spans="2:20">
      <c r="B49" s="319"/>
      <c r="C49" s="42"/>
      <c r="D49" s="42"/>
      <c r="E49" s="42"/>
      <c r="F49" s="42"/>
      <c r="G49" s="42"/>
      <c r="H49" s="42"/>
      <c r="I49" s="42"/>
      <c r="J49" s="42"/>
      <c r="K49" s="42"/>
      <c r="L49" s="42"/>
      <c r="M49" s="203"/>
    </row>
    <row r="50" spans="2:20">
      <c r="B50" s="319"/>
      <c r="C50" s="91">
        <v>2014</v>
      </c>
      <c r="D50" s="92">
        <f t="shared" ref="D50:J50" si="3">C50+1</f>
        <v>2015</v>
      </c>
      <c r="E50" s="92">
        <f t="shared" si="3"/>
        <v>2016</v>
      </c>
      <c r="F50" s="92">
        <f t="shared" si="3"/>
        <v>2017</v>
      </c>
      <c r="G50" s="92">
        <f t="shared" si="3"/>
        <v>2018</v>
      </c>
      <c r="H50" s="92">
        <f t="shared" si="3"/>
        <v>2019</v>
      </c>
      <c r="I50" s="92">
        <f t="shared" si="3"/>
        <v>2020</v>
      </c>
      <c r="J50" s="92">
        <f t="shared" si="3"/>
        <v>2021</v>
      </c>
      <c r="K50" s="42"/>
      <c r="L50" s="42"/>
      <c r="M50" s="203"/>
    </row>
    <row r="51" spans="2:20">
      <c r="B51" s="318" t="str">
        <f>INDEX($J$54:$J$57,MATCH(LEFT('RFPR cover'!$C$6,2),Data!$E$54:$E$57,0),0)</f>
        <v>n/a</v>
      </c>
      <c r="C51" s="320">
        <f>IFERROR(INDEX(C$106:C$115,MATCH('RFPR cover'!$C$5,Data!$B$106:$B$115,0),0),0)</f>
        <v>0</v>
      </c>
      <c r="D51" s="302">
        <f>IFERROR(INDEX(D$106:D$115,MATCH('RFPR cover'!$C$5,Data!$B$106:$B$115,0),0),0)</f>
        <v>0</v>
      </c>
      <c r="E51" s="302">
        <f>IFERROR(INDEX(E$106:E$115,MATCH('RFPR cover'!$C$5,Data!$B$106:$B$115,0),0),0)</f>
        <v>0</v>
      </c>
      <c r="F51" s="302">
        <f>IFERROR(INDEX(F$106:F$115,MATCH('RFPR cover'!$C$5,Data!$B$106:$B$115,0),0),0)</f>
        <v>0</v>
      </c>
      <c r="G51" s="302">
        <f>IFERROR(INDEX(G$106:G$115,MATCH('RFPR cover'!$C$5,Data!$B$106:$B$115,0),0),0)</f>
        <v>0</v>
      </c>
      <c r="H51" s="302">
        <f>IFERROR(INDEX(H$106:H$115,MATCH('RFPR cover'!$C$5,Data!$B$106:$B$115,0),0),0)</f>
        <v>0</v>
      </c>
      <c r="I51" s="302">
        <f>IFERROR(INDEX(I$106:I$115,MATCH('RFPR cover'!$C$5,Data!$B$106:$B$115,0),0),0)</f>
        <v>0</v>
      </c>
      <c r="J51" s="302">
        <f>IFERROR(INDEX(J$106:J$115,MATCH('RFPR cover'!$C$5,Data!$B$106:$B$115,0),0),0)</f>
        <v>0</v>
      </c>
      <c r="K51" s="42"/>
      <c r="L51" s="42"/>
      <c r="M51" s="203"/>
    </row>
    <row r="52" spans="2:20">
      <c r="B52" s="296"/>
      <c r="C52" s="297"/>
      <c r="D52" s="297"/>
      <c r="E52" s="297"/>
      <c r="F52" s="297"/>
      <c r="G52" s="297"/>
      <c r="H52" s="297"/>
      <c r="I52" s="297"/>
      <c r="J52" s="297"/>
      <c r="K52" s="297"/>
      <c r="L52" s="297"/>
      <c r="M52" s="298"/>
    </row>
    <row r="53" spans="2:20">
      <c r="B53" s="42"/>
      <c r="C53" s="42"/>
      <c r="D53" s="42"/>
      <c r="E53" s="42"/>
      <c r="F53" s="42"/>
      <c r="G53" s="42"/>
      <c r="H53" s="42"/>
      <c r="I53" s="42"/>
      <c r="J53" s="42"/>
      <c r="K53" s="42"/>
    </row>
    <row r="54" spans="2:20">
      <c r="B54" s="306"/>
      <c r="C54" s="306"/>
      <c r="E54" s="303" t="s">
        <v>171</v>
      </c>
      <c r="F54" s="332" t="s">
        <v>158</v>
      </c>
      <c r="G54" s="969" t="s">
        <v>251</v>
      </c>
      <c r="H54" s="970"/>
      <c r="I54" s="971"/>
      <c r="J54" s="978" t="s">
        <v>253</v>
      </c>
      <c r="K54" s="979"/>
    </row>
    <row r="55" spans="2:20">
      <c r="B55" s="306"/>
      <c r="C55" s="306"/>
      <c r="E55" s="304" t="s">
        <v>173</v>
      </c>
      <c r="F55" s="333" t="s">
        <v>183</v>
      </c>
      <c r="G55" s="972" t="s">
        <v>251</v>
      </c>
      <c r="H55" s="973"/>
      <c r="I55" s="974"/>
      <c r="J55" s="980" t="s">
        <v>253</v>
      </c>
      <c r="K55" s="981"/>
    </row>
    <row r="56" spans="2:20">
      <c r="B56" s="306"/>
      <c r="C56" s="306"/>
      <c r="E56" s="304" t="s">
        <v>172</v>
      </c>
      <c r="F56" s="333" t="s">
        <v>183</v>
      </c>
      <c r="G56" s="972" t="s">
        <v>242</v>
      </c>
      <c r="H56" s="973"/>
      <c r="I56" s="974"/>
      <c r="J56" s="980" t="s">
        <v>243</v>
      </c>
      <c r="K56" s="981"/>
    </row>
    <row r="57" spans="2:20">
      <c r="B57" s="306"/>
      <c r="C57" s="306"/>
      <c r="E57" s="305" t="s">
        <v>174</v>
      </c>
      <c r="F57" s="334" t="s">
        <v>183</v>
      </c>
      <c r="G57" s="975" t="s">
        <v>252</v>
      </c>
      <c r="H57" s="976"/>
      <c r="I57" s="977"/>
      <c r="J57" s="982" t="s">
        <v>254</v>
      </c>
      <c r="K57" s="983"/>
    </row>
    <row r="58" spans="2:20">
      <c r="B58" s="306"/>
      <c r="C58" s="306"/>
      <c r="E58" s="306"/>
      <c r="F58" s="447"/>
      <c r="G58" s="448"/>
      <c r="H58" s="448"/>
      <c r="I58" s="448"/>
      <c r="J58" s="449"/>
      <c r="K58" s="449"/>
    </row>
    <row r="59" spans="2:20">
      <c r="B59" s="450"/>
      <c r="C59" s="450"/>
      <c r="D59" s="218"/>
      <c r="E59" s="450"/>
      <c r="F59" s="451"/>
      <c r="G59" s="452"/>
      <c r="H59" s="452"/>
      <c r="I59" s="452"/>
      <c r="J59" s="453"/>
      <c r="K59" s="453"/>
      <c r="L59" s="218"/>
      <c r="M59" s="218"/>
      <c r="N59" s="218"/>
      <c r="O59" s="218"/>
      <c r="P59" s="218"/>
      <c r="Q59" s="218"/>
      <c r="R59" s="218"/>
      <c r="S59" s="218"/>
      <c r="T59" s="218"/>
    </row>
    <row r="60" spans="2:20" s="31" customFormat="1">
      <c r="B60" s="401"/>
      <c r="C60" s="401"/>
      <c r="E60" s="401"/>
      <c r="F60" s="454"/>
      <c r="G60" s="455"/>
      <c r="H60" s="455"/>
      <c r="I60" s="455"/>
      <c r="J60" s="456"/>
      <c r="K60" s="456"/>
    </row>
    <row r="61" spans="2:20">
      <c r="B61" s="446" t="s">
        <v>349</v>
      </c>
      <c r="C61" s="43"/>
      <c r="I61" s="67"/>
    </row>
    <row r="62" spans="2:20">
      <c r="C62" s="118">
        <v>2014</v>
      </c>
      <c r="D62" s="119">
        <f t="shared" ref="D62:L62" si="4">C62+1</f>
        <v>2015</v>
      </c>
      <c r="E62" s="119">
        <f t="shared" si="4"/>
        <v>2016</v>
      </c>
      <c r="F62" s="119">
        <f t="shared" si="4"/>
        <v>2017</v>
      </c>
      <c r="G62" s="119">
        <f t="shared" si="4"/>
        <v>2018</v>
      </c>
      <c r="H62" s="119">
        <f t="shared" si="4"/>
        <v>2019</v>
      </c>
      <c r="I62" s="119">
        <f t="shared" si="4"/>
        <v>2020</v>
      </c>
      <c r="J62" s="119">
        <f t="shared" si="4"/>
        <v>2021</v>
      </c>
      <c r="K62" s="119">
        <f t="shared" si="4"/>
        <v>2022</v>
      </c>
      <c r="L62" s="196">
        <f t="shared" si="4"/>
        <v>2023</v>
      </c>
    </row>
    <row r="63" spans="2:20">
      <c r="B63" s="443" t="s">
        <v>347</v>
      </c>
      <c r="C63" s="568"/>
      <c r="D63" s="569"/>
      <c r="E63" s="441">
        <v>2.5499999999999998E-2</v>
      </c>
      <c r="F63" s="441">
        <v>2.3799999999999998E-2</v>
      </c>
      <c r="G63" s="441">
        <v>2.2200000000000001E-2</v>
      </c>
      <c r="H63" s="441">
        <v>1.9099999999999999E-2</v>
      </c>
      <c r="I63" s="441">
        <v>1.5800000000000002E-2</v>
      </c>
      <c r="J63" s="441">
        <v>1.09E-2</v>
      </c>
      <c r="K63" s="441">
        <v>7.6E-3</v>
      </c>
      <c r="L63" s="442">
        <v>4.4000000000000003E-3</v>
      </c>
    </row>
    <row r="64" spans="2:20">
      <c r="B64" s="444" t="s">
        <v>334</v>
      </c>
      <c r="C64" s="556"/>
      <c r="D64" s="557"/>
      <c r="E64" s="403">
        <v>2.5499999999999998E-2</v>
      </c>
      <c r="F64" s="403">
        <v>2.4199999999999999E-2</v>
      </c>
      <c r="G64" s="403">
        <v>2.29E-2</v>
      </c>
      <c r="H64" s="403">
        <v>2.0899999999999998E-2</v>
      </c>
      <c r="I64" s="403">
        <v>1.9400000000000001E-2</v>
      </c>
      <c r="J64" s="403">
        <v>1.78E-2</v>
      </c>
      <c r="K64" s="403">
        <v>1.6199999999999999E-2</v>
      </c>
      <c r="L64" s="406">
        <v>1.44E-2</v>
      </c>
    </row>
    <row r="65" spans="1:20">
      <c r="B65" s="444" t="s">
        <v>61</v>
      </c>
      <c r="C65" s="402">
        <v>2.92E-2</v>
      </c>
      <c r="D65" s="403">
        <v>2.5000000000000001E-2</v>
      </c>
      <c r="E65" s="403">
        <v>2.1499999999999998E-2</v>
      </c>
      <c r="F65" s="403">
        <v>1.7899999999999999E-2</v>
      </c>
      <c r="G65" s="403">
        <v>1.5100000000000001E-2</v>
      </c>
      <c r="H65" s="403">
        <v>1.1599999999999999E-2</v>
      </c>
      <c r="I65" s="403">
        <v>1.0200000000000001E-2</v>
      </c>
      <c r="J65" s="403">
        <v>7.6E-3</v>
      </c>
      <c r="K65" s="570"/>
      <c r="L65" s="571"/>
    </row>
    <row r="66" spans="1:20">
      <c r="B66" s="444" t="s">
        <v>348</v>
      </c>
      <c r="C66" s="439">
        <v>2.92E-2</v>
      </c>
      <c r="D66" s="440">
        <v>2.7199999999999998E-2</v>
      </c>
      <c r="E66" s="440">
        <v>2.5499999999999998E-2</v>
      </c>
      <c r="F66" s="440">
        <v>2.3800000000000002E-2</v>
      </c>
      <c r="G66" s="440">
        <v>2.2200000000000001E-2</v>
      </c>
      <c r="H66" s="440">
        <v>1.9099999999999999E-2</v>
      </c>
      <c r="I66" s="440">
        <v>1.5800000000000002E-2</v>
      </c>
      <c r="J66" s="440">
        <v>1.09E-2</v>
      </c>
      <c r="K66" s="557"/>
      <c r="L66" s="558"/>
    </row>
    <row r="67" spans="1:20">
      <c r="B67" s="444" t="s">
        <v>172</v>
      </c>
      <c r="C67" s="402">
        <v>2.92E-2</v>
      </c>
      <c r="D67" s="403">
        <v>2.7199999999999998E-2</v>
      </c>
      <c r="E67" s="403">
        <v>2.5499999999999998E-2</v>
      </c>
      <c r="F67" s="403">
        <v>2.3800000000000002E-2</v>
      </c>
      <c r="G67" s="403">
        <v>2.2200000000000001E-2</v>
      </c>
      <c r="H67" s="440">
        <v>1.9099999999999999E-2</v>
      </c>
      <c r="I67" s="440">
        <v>1.5800000000000002E-2</v>
      </c>
      <c r="J67" s="440">
        <v>1.09E-2</v>
      </c>
      <c r="K67" s="557"/>
      <c r="L67" s="558"/>
    </row>
    <row r="68" spans="1:20">
      <c r="B68" s="445" t="s">
        <v>174</v>
      </c>
      <c r="C68" s="404">
        <v>2.92E-2</v>
      </c>
      <c r="D68" s="405">
        <v>2.7199999999999998E-2</v>
      </c>
      <c r="E68" s="405">
        <v>2.5499999999999998E-2</v>
      </c>
      <c r="F68" s="405">
        <v>2.3800000000000002E-2</v>
      </c>
      <c r="G68" s="405">
        <v>2.2200000000000001E-2</v>
      </c>
      <c r="H68" s="405">
        <v>1.9099999999999999E-2</v>
      </c>
      <c r="I68" s="405">
        <v>1.5800000000000002E-2</v>
      </c>
      <c r="J68" s="405">
        <v>1.09E-2</v>
      </c>
      <c r="K68" s="559"/>
      <c r="L68" s="560"/>
    </row>
    <row r="69" spans="1:20">
      <c r="I69" s="67"/>
    </row>
    <row r="70" spans="1:20">
      <c r="H70" s="67"/>
      <c r="K70" s="42"/>
      <c r="L70" s="42"/>
      <c r="M70" s="42"/>
      <c r="N70" s="42"/>
      <c r="O70" s="42"/>
      <c r="P70" s="42"/>
      <c r="Q70" s="42"/>
      <c r="R70" s="42"/>
      <c r="S70" s="42"/>
      <c r="T70" s="42"/>
    </row>
    <row r="71" spans="1:20" ht="38.25">
      <c r="B71" s="22"/>
      <c r="C71" s="74" t="s">
        <v>249</v>
      </c>
      <c r="D71" s="75" t="s">
        <v>211</v>
      </c>
      <c r="E71" s="75" t="s">
        <v>72</v>
      </c>
      <c r="F71" s="75" t="s">
        <v>272</v>
      </c>
      <c r="G71" s="75" t="s">
        <v>116</v>
      </c>
      <c r="H71" s="76" t="s">
        <v>185</v>
      </c>
      <c r="I71" s="331" t="s">
        <v>267</v>
      </c>
      <c r="J71" s="331" t="s">
        <v>467</v>
      </c>
      <c r="K71" s="966" t="s">
        <v>343</v>
      </c>
      <c r="L71" s="967"/>
      <c r="M71" s="967"/>
      <c r="N71" s="967"/>
      <c r="O71" s="967"/>
      <c r="P71" s="967"/>
      <c r="Q71" s="967"/>
      <c r="R71" s="967"/>
      <c r="S71" s="967"/>
      <c r="T71" s="968"/>
    </row>
    <row r="72" spans="1:20">
      <c r="A72" s="335" t="s">
        <v>188</v>
      </c>
      <c r="B72" s="68" t="s">
        <v>69</v>
      </c>
      <c r="C72" s="307"/>
      <c r="D72" s="70"/>
      <c r="E72" s="69"/>
      <c r="F72" s="69"/>
      <c r="G72" s="70"/>
      <c r="H72" s="71"/>
      <c r="I72" s="71"/>
      <c r="J72" s="426"/>
      <c r="K72" s="427">
        <v>2014</v>
      </c>
      <c r="L72" s="428">
        <f t="shared" ref="L72:T72" si="5">K72+1</f>
        <v>2015</v>
      </c>
      <c r="M72" s="428">
        <f t="shared" si="5"/>
        <v>2016</v>
      </c>
      <c r="N72" s="428">
        <f t="shared" si="5"/>
        <v>2017</v>
      </c>
      <c r="O72" s="428">
        <f t="shared" si="5"/>
        <v>2018</v>
      </c>
      <c r="P72" s="428">
        <f t="shared" si="5"/>
        <v>2019</v>
      </c>
      <c r="Q72" s="428">
        <f t="shared" si="5"/>
        <v>2020</v>
      </c>
      <c r="R72" s="428">
        <f t="shared" si="5"/>
        <v>2021</v>
      </c>
      <c r="S72" s="428">
        <f t="shared" si="5"/>
        <v>2022</v>
      </c>
      <c r="T72" s="429">
        <f t="shared" si="5"/>
        <v>2023</v>
      </c>
    </row>
    <row r="73" spans="1:20">
      <c r="A73" s="60" t="s">
        <v>171</v>
      </c>
      <c r="B73" s="72" t="s">
        <v>43</v>
      </c>
      <c r="C73" s="308">
        <v>0.06</v>
      </c>
      <c r="D73" s="309">
        <v>0.58109999999999995</v>
      </c>
      <c r="E73" s="310">
        <v>0.65</v>
      </c>
      <c r="F73" s="310">
        <v>0.68</v>
      </c>
      <c r="G73" s="341">
        <v>2016</v>
      </c>
      <c r="H73" s="342" t="str">
        <f t="shared" ref="H73:H97" si="6">VLOOKUP($A73,$E$54:$F$57,2,FALSE)</f>
        <v>£m 12/13</v>
      </c>
      <c r="I73" s="342" t="s">
        <v>268</v>
      </c>
      <c r="J73" s="426" t="s">
        <v>468</v>
      </c>
      <c r="K73" s="556"/>
      <c r="L73" s="557"/>
      <c r="M73" s="434">
        <f t="shared" ref="M73:M82" si="7">E$64</f>
        <v>2.5499999999999998E-2</v>
      </c>
      <c r="N73" s="434">
        <f t="shared" ref="N73:N82" si="8">F$64</f>
        <v>2.4199999999999999E-2</v>
      </c>
      <c r="O73" s="434">
        <f t="shared" ref="O73:O82" si="9">G$64</f>
        <v>2.29E-2</v>
      </c>
      <c r="P73" s="434">
        <f t="shared" ref="P73:P82" si="10">H$64</f>
        <v>2.0899999999999998E-2</v>
      </c>
      <c r="Q73" s="434">
        <f t="shared" ref="Q73:Q82" si="11">I$64</f>
        <v>1.9400000000000001E-2</v>
      </c>
      <c r="R73" s="434">
        <f t="shared" ref="R73:R82" si="12">J$64</f>
        <v>1.78E-2</v>
      </c>
      <c r="S73" s="434">
        <f t="shared" ref="S73:S82" si="13">K$64</f>
        <v>1.6199999999999999E-2</v>
      </c>
      <c r="T73" s="438">
        <f t="shared" ref="T73:T82" si="14">L$64</f>
        <v>1.44E-2</v>
      </c>
    </row>
    <row r="74" spans="1:20">
      <c r="A74" s="60" t="s">
        <v>171</v>
      </c>
      <c r="B74" s="72" t="s">
        <v>44</v>
      </c>
      <c r="C74" s="308">
        <v>0.06</v>
      </c>
      <c r="D74" s="309">
        <v>0.55843703457782867</v>
      </c>
      <c r="E74" s="310">
        <v>0.65</v>
      </c>
      <c r="F74" s="310">
        <v>0.7</v>
      </c>
      <c r="G74" s="341">
        <v>2016</v>
      </c>
      <c r="H74" s="342" t="str">
        <f t="shared" si="6"/>
        <v>£m 12/13</v>
      </c>
      <c r="I74" s="342" t="s">
        <v>268</v>
      </c>
      <c r="J74" s="426" t="s">
        <v>468</v>
      </c>
      <c r="K74" s="556"/>
      <c r="L74" s="557"/>
      <c r="M74" s="434">
        <f t="shared" si="7"/>
        <v>2.5499999999999998E-2</v>
      </c>
      <c r="N74" s="434">
        <f t="shared" si="8"/>
        <v>2.4199999999999999E-2</v>
      </c>
      <c r="O74" s="434">
        <f t="shared" si="9"/>
        <v>2.29E-2</v>
      </c>
      <c r="P74" s="434">
        <f t="shared" si="10"/>
        <v>2.0899999999999998E-2</v>
      </c>
      <c r="Q74" s="434">
        <f t="shared" si="11"/>
        <v>1.9400000000000001E-2</v>
      </c>
      <c r="R74" s="434">
        <f t="shared" si="12"/>
        <v>1.78E-2</v>
      </c>
      <c r="S74" s="434">
        <f t="shared" si="13"/>
        <v>1.6199999999999999E-2</v>
      </c>
      <c r="T74" s="438">
        <f t="shared" si="14"/>
        <v>1.44E-2</v>
      </c>
    </row>
    <row r="75" spans="1:20">
      <c r="A75" s="60" t="s">
        <v>171</v>
      </c>
      <c r="B75" s="72" t="s">
        <v>73</v>
      </c>
      <c r="C75" s="308">
        <v>0.06</v>
      </c>
      <c r="D75" s="309">
        <v>0.55843703457782867</v>
      </c>
      <c r="E75" s="310">
        <v>0.65</v>
      </c>
      <c r="F75" s="310">
        <v>0.72</v>
      </c>
      <c r="G75" s="341">
        <v>2016</v>
      </c>
      <c r="H75" s="342" t="str">
        <f t="shared" si="6"/>
        <v>£m 12/13</v>
      </c>
      <c r="I75" s="342" t="s">
        <v>268</v>
      </c>
      <c r="J75" s="426" t="s">
        <v>468</v>
      </c>
      <c r="K75" s="556"/>
      <c r="L75" s="557"/>
      <c r="M75" s="434">
        <f t="shared" si="7"/>
        <v>2.5499999999999998E-2</v>
      </c>
      <c r="N75" s="434">
        <f t="shared" si="8"/>
        <v>2.4199999999999999E-2</v>
      </c>
      <c r="O75" s="434">
        <f t="shared" si="9"/>
        <v>2.29E-2</v>
      </c>
      <c r="P75" s="434">
        <f t="shared" si="10"/>
        <v>2.0899999999999998E-2</v>
      </c>
      <c r="Q75" s="434">
        <f t="shared" si="11"/>
        <v>1.9400000000000001E-2</v>
      </c>
      <c r="R75" s="434">
        <f t="shared" si="12"/>
        <v>1.78E-2</v>
      </c>
      <c r="S75" s="434">
        <f t="shared" si="13"/>
        <v>1.6199999999999999E-2</v>
      </c>
      <c r="T75" s="438">
        <f t="shared" si="14"/>
        <v>1.44E-2</v>
      </c>
    </row>
    <row r="76" spans="1:20">
      <c r="A76" s="60" t="s">
        <v>171</v>
      </c>
      <c r="B76" s="72" t="s">
        <v>59</v>
      </c>
      <c r="C76" s="308">
        <v>0.06</v>
      </c>
      <c r="D76" s="309">
        <v>0.53280000000000005</v>
      </c>
      <c r="E76" s="310">
        <v>0.65</v>
      </c>
      <c r="F76" s="310">
        <v>0.68</v>
      </c>
      <c r="G76" s="341">
        <v>2016</v>
      </c>
      <c r="H76" s="342" t="str">
        <f t="shared" si="6"/>
        <v>£m 12/13</v>
      </c>
      <c r="I76" s="342" t="s">
        <v>268</v>
      </c>
      <c r="J76" s="426" t="s">
        <v>468</v>
      </c>
      <c r="K76" s="556"/>
      <c r="L76" s="557"/>
      <c r="M76" s="434">
        <f t="shared" si="7"/>
        <v>2.5499999999999998E-2</v>
      </c>
      <c r="N76" s="434">
        <f t="shared" si="8"/>
        <v>2.4199999999999999E-2</v>
      </c>
      <c r="O76" s="434">
        <f t="shared" si="9"/>
        <v>2.29E-2</v>
      </c>
      <c r="P76" s="434">
        <f t="shared" si="10"/>
        <v>2.0899999999999998E-2</v>
      </c>
      <c r="Q76" s="434">
        <f t="shared" si="11"/>
        <v>1.9400000000000001E-2</v>
      </c>
      <c r="R76" s="434">
        <f t="shared" si="12"/>
        <v>1.78E-2</v>
      </c>
      <c r="S76" s="434">
        <f t="shared" si="13"/>
        <v>1.6199999999999999E-2</v>
      </c>
      <c r="T76" s="438">
        <f t="shared" si="14"/>
        <v>1.44E-2</v>
      </c>
    </row>
    <row r="77" spans="1:20">
      <c r="A77" s="60" t="s">
        <v>171</v>
      </c>
      <c r="B77" s="72" t="s">
        <v>57</v>
      </c>
      <c r="C77" s="308">
        <v>0.06</v>
      </c>
      <c r="D77" s="309">
        <v>0.53280000000000005</v>
      </c>
      <c r="E77" s="310">
        <v>0.65</v>
      </c>
      <c r="F77" s="310">
        <v>0.68</v>
      </c>
      <c r="G77" s="341">
        <v>2016</v>
      </c>
      <c r="H77" s="342" t="str">
        <f t="shared" si="6"/>
        <v>£m 12/13</v>
      </c>
      <c r="I77" s="342" t="s">
        <v>268</v>
      </c>
      <c r="J77" s="426" t="s">
        <v>468</v>
      </c>
      <c r="K77" s="556"/>
      <c r="L77" s="557"/>
      <c r="M77" s="434">
        <f t="shared" si="7"/>
        <v>2.5499999999999998E-2</v>
      </c>
      <c r="N77" s="434">
        <f t="shared" si="8"/>
        <v>2.4199999999999999E-2</v>
      </c>
      <c r="O77" s="434">
        <f t="shared" si="9"/>
        <v>2.29E-2</v>
      </c>
      <c r="P77" s="434">
        <f t="shared" si="10"/>
        <v>2.0899999999999998E-2</v>
      </c>
      <c r="Q77" s="434">
        <f t="shared" si="11"/>
        <v>1.9400000000000001E-2</v>
      </c>
      <c r="R77" s="434">
        <f t="shared" si="12"/>
        <v>1.78E-2</v>
      </c>
      <c r="S77" s="434">
        <f t="shared" si="13"/>
        <v>1.6199999999999999E-2</v>
      </c>
      <c r="T77" s="438">
        <f t="shared" si="14"/>
        <v>1.44E-2</v>
      </c>
    </row>
    <row r="78" spans="1:20">
      <c r="A78" s="60" t="s">
        <v>171</v>
      </c>
      <c r="B78" s="72" t="s">
        <v>58</v>
      </c>
      <c r="C78" s="308">
        <v>0.06</v>
      </c>
      <c r="D78" s="309">
        <v>0.53280000000000005</v>
      </c>
      <c r="E78" s="310">
        <v>0.65</v>
      </c>
      <c r="F78" s="310">
        <v>0.68</v>
      </c>
      <c r="G78" s="341">
        <v>2016</v>
      </c>
      <c r="H78" s="342" t="str">
        <f t="shared" si="6"/>
        <v>£m 12/13</v>
      </c>
      <c r="I78" s="342" t="s">
        <v>268</v>
      </c>
      <c r="J78" s="426" t="s">
        <v>468</v>
      </c>
      <c r="K78" s="556"/>
      <c r="L78" s="557"/>
      <c r="M78" s="434">
        <f t="shared" si="7"/>
        <v>2.5499999999999998E-2</v>
      </c>
      <c r="N78" s="434">
        <f t="shared" si="8"/>
        <v>2.4199999999999999E-2</v>
      </c>
      <c r="O78" s="434">
        <f t="shared" si="9"/>
        <v>2.29E-2</v>
      </c>
      <c r="P78" s="434">
        <f t="shared" si="10"/>
        <v>2.0899999999999998E-2</v>
      </c>
      <c r="Q78" s="434">
        <f t="shared" si="11"/>
        <v>1.9400000000000001E-2</v>
      </c>
      <c r="R78" s="434">
        <f t="shared" si="12"/>
        <v>1.78E-2</v>
      </c>
      <c r="S78" s="434">
        <f t="shared" si="13"/>
        <v>1.6199999999999999E-2</v>
      </c>
      <c r="T78" s="438">
        <f t="shared" si="14"/>
        <v>1.44E-2</v>
      </c>
    </row>
    <row r="79" spans="1:20">
      <c r="A79" s="60" t="s">
        <v>171</v>
      </c>
      <c r="B79" s="72" t="s">
        <v>45</v>
      </c>
      <c r="C79" s="308">
        <v>0.06</v>
      </c>
      <c r="D79" s="309">
        <v>0.53500000000000003</v>
      </c>
      <c r="E79" s="310">
        <v>0.65</v>
      </c>
      <c r="F79" s="310">
        <v>0.8</v>
      </c>
      <c r="G79" s="341">
        <v>2016</v>
      </c>
      <c r="H79" s="342" t="str">
        <f t="shared" si="6"/>
        <v>£m 12/13</v>
      </c>
      <c r="I79" s="342" t="s">
        <v>268</v>
      </c>
      <c r="J79" s="426" t="s">
        <v>468</v>
      </c>
      <c r="K79" s="556"/>
      <c r="L79" s="557"/>
      <c r="M79" s="434">
        <f t="shared" si="7"/>
        <v>2.5499999999999998E-2</v>
      </c>
      <c r="N79" s="434">
        <f t="shared" si="8"/>
        <v>2.4199999999999999E-2</v>
      </c>
      <c r="O79" s="434">
        <f t="shared" si="9"/>
        <v>2.29E-2</v>
      </c>
      <c r="P79" s="434">
        <f t="shared" si="10"/>
        <v>2.0899999999999998E-2</v>
      </c>
      <c r="Q79" s="434">
        <f t="shared" si="11"/>
        <v>1.9400000000000001E-2</v>
      </c>
      <c r="R79" s="434">
        <f t="shared" si="12"/>
        <v>1.78E-2</v>
      </c>
      <c r="S79" s="434">
        <f t="shared" si="13"/>
        <v>1.6199999999999999E-2</v>
      </c>
      <c r="T79" s="438">
        <f t="shared" si="14"/>
        <v>1.44E-2</v>
      </c>
    </row>
    <row r="80" spans="1:20">
      <c r="A80" s="60" t="s">
        <v>171</v>
      </c>
      <c r="B80" s="72" t="s">
        <v>46</v>
      </c>
      <c r="C80" s="308">
        <v>0.06</v>
      </c>
      <c r="D80" s="309">
        <v>0.53500000000000003</v>
      </c>
      <c r="E80" s="310">
        <v>0.65</v>
      </c>
      <c r="F80" s="310">
        <v>0.8</v>
      </c>
      <c r="G80" s="341">
        <v>2016</v>
      </c>
      <c r="H80" s="342" t="str">
        <f t="shared" si="6"/>
        <v>£m 12/13</v>
      </c>
      <c r="I80" s="342" t="s">
        <v>268</v>
      </c>
      <c r="J80" s="426" t="s">
        <v>468</v>
      </c>
      <c r="K80" s="556"/>
      <c r="L80" s="557"/>
      <c r="M80" s="434">
        <f t="shared" si="7"/>
        <v>2.5499999999999998E-2</v>
      </c>
      <c r="N80" s="434">
        <f t="shared" si="8"/>
        <v>2.4199999999999999E-2</v>
      </c>
      <c r="O80" s="434">
        <f t="shared" si="9"/>
        <v>2.29E-2</v>
      </c>
      <c r="P80" s="434">
        <f t="shared" si="10"/>
        <v>2.0899999999999998E-2</v>
      </c>
      <c r="Q80" s="434">
        <f t="shared" si="11"/>
        <v>1.9400000000000001E-2</v>
      </c>
      <c r="R80" s="434">
        <f t="shared" si="12"/>
        <v>1.78E-2</v>
      </c>
      <c r="S80" s="434">
        <f t="shared" si="13"/>
        <v>1.6199999999999999E-2</v>
      </c>
      <c r="T80" s="438">
        <f t="shared" si="14"/>
        <v>1.44E-2</v>
      </c>
    </row>
    <row r="81" spans="1:20">
      <c r="A81" s="60" t="s">
        <v>171</v>
      </c>
      <c r="B81" s="72" t="s">
        <v>47</v>
      </c>
      <c r="C81" s="308">
        <v>0.06</v>
      </c>
      <c r="D81" s="309">
        <v>0.56469999999999998</v>
      </c>
      <c r="E81" s="310">
        <v>0.65</v>
      </c>
      <c r="F81" s="310">
        <v>0.62</v>
      </c>
      <c r="G81" s="341">
        <v>2016</v>
      </c>
      <c r="H81" s="342" t="str">
        <f t="shared" si="6"/>
        <v>£m 12/13</v>
      </c>
      <c r="I81" s="342" t="s">
        <v>268</v>
      </c>
      <c r="J81" s="426" t="s">
        <v>468</v>
      </c>
      <c r="K81" s="556"/>
      <c r="L81" s="557"/>
      <c r="M81" s="434">
        <f t="shared" si="7"/>
        <v>2.5499999999999998E-2</v>
      </c>
      <c r="N81" s="434">
        <f t="shared" si="8"/>
        <v>2.4199999999999999E-2</v>
      </c>
      <c r="O81" s="434">
        <f t="shared" si="9"/>
        <v>2.29E-2</v>
      </c>
      <c r="P81" s="434">
        <f t="shared" si="10"/>
        <v>2.0899999999999998E-2</v>
      </c>
      <c r="Q81" s="434">
        <f t="shared" si="11"/>
        <v>1.9400000000000001E-2</v>
      </c>
      <c r="R81" s="434">
        <f t="shared" si="12"/>
        <v>1.78E-2</v>
      </c>
      <c r="S81" s="434">
        <f t="shared" si="13"/>
        <v>1.6199999999999999E-2</v>
      </c>
      <c r="T81" s="438">
        <f t="shared" si="14"/>
        <v>1.44E-2</v>
      </c>
    </row>
    <row r="82" spans="1:20">
      <c r="A82" s="60" t="s">
        <v>171</v>
      </c>
      <c r="B82" s="72" t="s">
        <v>48</v>
      </c>
      <c r="C82" s="308">
        <v>0.06</v>
      </c>
      <c r="D82" s="309">
        <v>0.56469999999999998</v>
      </c>
      <c r="E82" s="310">
        <v>0.65</v>
      </c>
      <c r="F82" s="310">
        <v>0.7</v>
      </c>
      <c r="G82" s="341">
        <v>2016</v>
      </c>
      <c r="H82" s="342" t="str">
        <f t="shared" si="6"/>
        <v>£m 12/13</v>
      </c>
      <c r="I82" s="342" t="s">
        <v>268</v>
      </c>
      <c r="J82" s="426" t="s">
        <v>468</v>
      </c>
      <c r="K82" s="556"/>
      <c r="L82" s="557"/>
      <c r="M82" s="434">
        <f t="shared" si="7"/>
        <v>2.5499999999999998E-2</v>
      </c>
      <c r="N82" s="434">
        <f t="shared" si="8"/>
        <v>2.4199999999999999E-2</v>
      </c>
      <c r="O82" s="434">
        <f t="shared" si="9"/>
        <v>2.29E-2</v>
      </c>
      <c r="P82" s="434">
        <f t="shared" si="10"/>
        <v>2.0899999999999998E-2</v>
      </c>
      <c r="Q82" s="434">
        <f t="shared" si="11"/>
        <v>1.9400000000000001E-2</v>
      </c>
      <c r="R82" s="434">
        <f t="shared" si="12"/>
        <v>1.78E-2</v>
      </c>
      <c r="S82" s="434">
        <f t="shared" si="13"/>
        <v>1.6199999999999999E-2</v>
      </c>
      <c r="T82" s="438">
        <f t="shared" si="14"/>
        <v>1.44E-2</v>
      </c>
    </row>
    <row r="83" spans="1:20">
      <c r="A83" s="60" t="s">
        <v>171</v>
      </c>
      <c r="B83" s="72" t="s">
        <v>244</v>
      </c>
      <c r="C83" s="308">
        <v>6.4000000000000001E-2</v>
      </c>
      <c r="D83" s="309">
        <v>0.7</v>
      </c>
      <c r="E83" s="310">
        <v>0.65</v>
      </c>
      <c r="F83" s="310">
        <v>0.8</v>
      </c>
      <c r="G83" s="341">
        <v>2016</v>
      </c>
      <c r="H83" s="342" t="str">
        <f t="shared" si="6"/>
        <v>£m 12/13</v>
      </c>
      <c r="I83" s="342" t="s">
        <v>269</v>
      </c>
      <c r="J83" s="426" t="s">
        <v>469</v>
      </c>
      <c r="K83" s="556"/>
      <c r="L83" s="557"/>
      <c r="M83" s="434">
        <f t="shared" ref="M83:T86" si="15">E$63</f>
        <v>2.5499999999999998E-2</v>
      </c>
      <c r="N83" s="434">
        <f t="shared" si="15"/>
        <v>2.3799999999999998E-2</v>
      </c>
      <c r="O83" s="434">
        <f t="shared" si="15"/>
        <v>2.2200000000000001E-2</v>
      </c>
      <c r="P83" s="434">
        <f t="shared" si="15"/>
        <v>1.9099999999999999E-2</v>
      </c>
      <c r="Q83" s="434">
        <f t="shared" si="15"/>
        <v>1.5800000000000002E-2</v>
      </c>
      <c r="R83" s="434">
        <f t="shared" si="15"/>
        <v>1.09E-2</v>
      </c>
      <c r="S83" s="434">
        <f t="shared" si="15"/>
        <v>7.6E-3</v>
      </c>
      <c r="T83" s="438">
        <f t="shared" si="15"/>
        <v>4.4000000000000003E-3</v>
      </c>
    </row>
    <row r="84" spans="1:20">
      <c r="A84" s="60" t="s">
        <v>171</v>
      </c>
      <c r="B84" s="72" t="s">
        <v>245</v>
      </c>
      <c r="C84" s="308">
        <v>6.4000000000000001E-2</v>
      </c>
      <c r="D84" s="309">
        <v>0.7</v>
      </c>
      <c r="E84" s="310">
        <v>0.65</v>
      </c>
      <c r="F84" s="310">
        <v>0.8</v>
      </c>
      <c r="G84" s="341">
        <v>2016</v>
      </c>
      <c r="H84" s="342" t="str">
        <f t="shared" si="6"/>
        <v>£m 12/13</v>
      </c>
      <c r="I84" s="342" t="s">
        <v>269</v>
      </c>
      <c r="J84" s="426" t="s">
        <v>469</v>
      </c>
      <c r="K84" s="556"/>
      <c r="L84" s="557"/>
      <c r="M84" s="434">
        <f t="shared" si="15"/>
        <v>2.5499999999999998E-2</v>
      </c>
      <c r="N84" s="434">
        <f t="shared" si="15"/>
        <v>2.3799999999999998E-2</v>
      </c>
      <c r="O84" s="434">
        <f t="shared" si="15"/>
        <v>2.2200000000000001E-2</v>
      </c>
      <c r="P84" s="434">
        <f t="shared" si="15"/>
        <v>1.9099999999999999E-2</v>
      </c>
      <c r="Q84" s="434">
        <f t="shared" si="15"/>
        <v>1.5800000000000002E-2</v>
      </c>
      <c r="R84" s="434">
        <f t="shared" si="15"/>
        <v>1.09E-2</v>
      </c>
      <c r="S84" s="434">
        <f t="shared" si="15"/>
        <v>7.6E-3</v>
      </c>
      <c r="T84" s="438">
        <f t="shared" si="15"/>
        <v>4.4000000000000003E-3</v>
      </c>
    </row>
    <row r="85" spans="1:20">
      <c r="A85" s="60" t="s">
        <v>171</v>
      </c>
      <c r="B85" s="72" t="s">
        <v>246</v>
      </c>
      <c r="C85" s="308">
        <v>6.4000000000000001E-2</v>
      </c>
      <c r="D85" s="309">
        <v>0.7</v>
      </c>
      <c r="E85" s="310">
        <v>0.65</v>
      </c>
      <c r="F85" s="310">
        <v>0.8</v>
      </c>
      <c r="G85" s="341">
        <v>2016</v>
      </c>
      <c r="H85" s="342" t="str">
        <f t="shared" si="6"/>
        <v>£m 12/13</v>
      </c>
      <c r="I85" s="342" t="s">
        <v>269</v>
      </c>
      <c r="J85" s="426" t="s">
        <v>469</v>
      </c>
      <c r="K85" s="556"/>
      <c r="L85" s="557"/>
      <c r="M85" s="434">
        <f t="shared" si="15"/>
        <v>2.5499999999999998E-2</v>
      </c>
      <c r="N85" s="434">
        <f t="shared" si="15"/>
        <v>2.3799999999999998E-2</v>
      </c>
      <c r="O85" s="434">
        <f t="shared" si="15"/>
        <v>2.2200000000000001E-2</v>
      </c>
      <c r="P85" s="434">
        <f t="shared" si="15"/>
        <v>1.9099999999999999E-2</v>
      </c>
      <c r="Q85" s="434">
        <f t="shared" si="15"/>
        <v>1.5800000000000002E-2</v>
      </c>
      <c r="R85" s="434">
        <f t="shared" si="15"/>
        <v>1.09E-2</v>
      </c>
      <c r="S85" s="434">
        <f t="shared" si="15"/>
        <v>7.6E-3</v>
      </c>
      <c r="T85" s="438">
        <f t="shared" si="15"/>
        <v>4.4000000000000003E-3</v>
      </c>
    </row>
    <row r="86" spans="1:20">
      <c r="A86" s="60" t="s">
        <v>171</v>
      </c>
      <c r="B86" s="72" t="s">
        <v>247</v>
      </c>
      <c r="C86" s="308">
        <v>6.4000000000000001E-2</v>
      </c>
      <c r="D86" s="309">
        <v>0.7</v>
      </c>
      <c r="E86" s="310">
        <v>0.65</v>
      </c>
      <c r="F86" s="310">
        <v>0.8</v>
      </c>
      <c r="G86" s="341">
        <v>2016</v>
      </c>
      <c r="H86" s="342" t="str">
        <f t="shared" si="6"/>
        <v>£m 12/13</v>
      </c>
      <c r="I86" s="342" t="s">
        <v>269</v>
      </c>
      <c r="J86" s="426" t="s">
        <v>469</v>
      </c>
      <c r="K86" s="556"/>
      <c r="L86" s="557"/>
      <c r="M86" s="434">
        <f t="shared" si="15"/>
        <v>2.5499999999999998E-2</v>
      </c>
      <c r="N86" s="434">
        <f t="shared" si="15"/>
        <v>2.3799999999999998E-2</v>
      </c>
      <c r="O86" s="434">
        <f t="shared" si="15"/>
        <v>2.2200000000000001E-2</v>
      </c>
      <c r="P86" s="434">
        <f t="shared" si="15"/>
        <v>1.9099999999999999E-2</v>
      </c>
      <c r="Q86" s="434">
        <f t="shared" si="15"/>
        <v>1.5800000000000002E-2</v>
      </c>
      <c r="R86" s="434">
        <f t="shared" si="15"/>
        <v>1.09E-2</v>
      </c>
      <c r="S86" s="434">
        <f t="shared" si="15"/>
        <v>7.6E-3</v>
      </c>
      <c r="T86" s="438">
        <f t="shared" si="15"/>
        <v>4.4000000000000003E-3</v>
      </c>
    </row>
    <row r="87" spans="1:20">
      <c r="A87" s="60" t="s">
        <v>172</v>
      </c>
      <c r="B87" s="72" t="s">
        <v>53</v>
      </c>
      <c r="C87" s="308">
        <v>6.7000000000000004E-2</v>
      </c>
      <c r="D87" s="309">
        <v>0.63039999999999996</v>
      </c>
      <c r="E87" s="310">
        <v>0.65</v>
      </c>
      <c r="F87" s="310">
        <v>0.26634501855794862</v>
      </c>
      <c r="G87" s="341">
        <v>2014</v>
      </c>
      <c r="H87" s="342" t="str">
        <f t="shared" si="6"/>
        <v>£m 09/10</v>
      </c>
      <c r="I87" s="342" t="s">
        <v>268</v>
      </c>
      <c r="J87" s="426" t="s">
        <v>469</v>
      </c>
      <c r="K87" s="436">
        <f t="shared" ref="K87:R94" si="16">C$67</f>
        <v>2.92E-2</v>
      </c>
      <c r="L87" s="434">
        <f t="shared" si="16"/>
        <v>2.7199999999999998E-2</v>
      </c>
      <c r="M87" s="434">
        <f t="shared" si="16"/>
        <v>2.5499999999999998E-2</v>
      </c>
      <c r="N87" s="434">
        <f t="shared" si="16"/>
        <v>2.3800000000000002E-2</v>
      </c>
      <c r="O87" s="434">
        <f t="shared" si="16"/>
        <v>2.2200000000000001E-2</v>
      </c>
      <c r="P87" s="434">
        <f t="shared" si="16"/>
        <v>1.9099999999999999E-2</v>
      </c>
      <c r="Q87" s="434">
        <f t="shared" si="16"/>
        <v>1.5800000000000002E-2</v>
      </c>
      <c r="R87" s="434">
        <f t="shared" si="16"/>
        <v>1.09E-2</v>
      </c>
      <c r="S87" s="557"/>
      <c r="T87" s="558"/>
    </row>
    <row r="88" spans="1:20">
      <c r="A88" s="60" t="s">
        <v>172</v>
      </c>
      <c r="B88" s="72" t="s">
        <v>54</v>
      </c>
      <c r="C88" s="308">
        <v>6.7000000000000004E-2</v>
      </c>
      <c r="D88" s="309">
        <v>0.63039999999999996</v>
      </c>
      <c r="E88" s="310">
        <v>0.65</v>
      </c>
      <c r="F88" s="310">
        <v>0.23469337831705597</v>
      </c>
      <c r="G88" s="341">
        <v>2014</v>
      </c>
      <c r="H88" s="342" t="str">
        <f t="shared" si="6"/>
        <v>£m 09/10</v>
      </c>
      <c r="I88" s="342" t="s">
        <v>268</v>
      </c>
      <c r="J88" s="426" t="s">
        <v>469</v>
      </c>
      <c r="K88" s="436">
        <f t="shared" si="16"/>
        <v>2.92E-2</v>
      </c>
      <c r="L88" s="434">
        <f t="shared" si="16"/>
        <v>2.7199999999999998E-2</v>
      </c>
      <c r="M88" s="434">
        <f t="shared" si="16"/>
        <v>2.5499999999999998E-2</v>
      </c>
      <c r="N88" s="434">
        <f t="shared" si="16"/>
        <v>2.3800000000000002E-2</v>
      </c>
      <c r="O88" s="434">
        <f t="shared" si="16"/>
        <v>2.2200000000000001E-2</v>
      </c>
      <c r="P88" s="434">
        <f t="shared" si="16"/>
        <v>1.9099999999999999E-2</v>
      </c>
      <c r="Q88" s="434">
        <f t="shared" si="16"/>
        <v>1.5800000000000002E-2</v>
      </c>
      <c r="R88" s="434">
        <f t="shared" si="16"/>
        <v>1.09E-2</v>
      </c>
      <c r="S88" s="557"/>
      <c r="T88" s="558"/>
    </row>
    <row r="89" spans="1:20">
      <c r="A89" s="60" t="s">
        <v>172</v>
      </c>
      <c r="B89" s="72" t="s">
        <v>55</v>
      </c>
      <c r="C89" s="308">
        <v>6.7000000000000004E-2</v>
      </c>
      <c r="D89" s="309">
        <v>0.63039999999999996</v>
      </c>
      <c r="E89" s="310">
        <v>0.65</v>
      </c>
      <c r="F89" s="310">
        <v>0.24946223864843597</v>
      </c>
      <c r="G89" s="341">
        <v>2014</v>
      </c>
      <c r="H89" s="342" t="str">
        <f t="shared" si="6"/>
        <v>£m 09/10</v>
      </c>
      <c r="I89" s="342" t="s">
        <v>268</v>
      </c>
      <c r="J89" s="426" t="s">
        <v>469</v>
      </c>
      <c r="K89" s="436">
        <f t="shared" si="16"/>
        <v>2.92E-2</v>
      </c>
      <c r="L89" s="434">
        <f t="shared" si="16"/>
        <v>2.7199999999999998E-2</v>
      </c>
      <c r="M89" s="434">
        <f t="shared" si="16"/>
        <v>2.5499999999999998E-2</v>
      </c>
      <c r="N89" s="434">
        <f t="shared" si="16"/>
        <v>2.3800000000000002E-2</v>
      </c>
      <c r="O89" s="434">
        <f t="shared" si="16"/>
        <v>2.2200000000000001E-2</v>
      </c>
      <c r="P89" s="434">
        <f t="shared" si="16"/>
        <v>1.9099999999999999E-2</v>
      </c>
      <c r="Q89" s="434">
        <f t="shared" si="16"/>
        <v>1.5800000000000002E-2</v>
      </c>
      <c r="R89" s="434">
        <f t="shared" si="16"/>
        <v>1.09E-2</v>
      </c>
      <c r="S89" s="557"/>
      <c r="T89" s="558"/>
    </row>
    <row r="90" spans="1:20">
      <c r="A90" s="60" t="s">
        <v>172</v>
      </c>
      <c r="B90" s="72" t="s">
        <v>56</v>
      </c>
      <c r="C90" s="308">
        <v>6.7000000000000004E-2</v>
      </c>
      <c r="D90" s="309">
        <v>0.63039999999999996</v>
      </c>
      <c r="E90" s="310">
        <v>0.65</v>
      </c>
      <c r="F90" s="310">
        <v>0.26095352485819256</v>
      </c>
      <c r="G90" s="341">
        <v>2014</v>
      </c>
      <c r="H90" s="342" t="str">
        <f t="shared" si="6"/>
        <v>£m 09/10</v>
      </c>
      <c r="I90" s="342" t="s">
        <v>268</v>
      </c>
      <c r="J90" s="426" t="s">
        <v>469</v>
      </c>
      <c r="K90" s="436">
        <f t="shared" si="16"/>
        <v>2.92E-2</v>
      </c>
      <c r="L90" s="434">
        <f t="shared" si="16"/>
        <v>2.7199999999999998E-2</v>
      </c>
      <c r="M90" s="434">
        <f t="shared" si="16"/>
        <v>2.5499999999999998E-2</v>
      </c>
      <c r="N90" s="434">
        <f t="shared" si="16"/>
        <v>2.3800000000000002E-2</v>
      </c>
      <c r="O90" s="434">
        <f t="shared" si="16"/>
        <v>2.2200000000000001E-2</v>
      </c>
      <c r="P90" s="434">
        <f t="shared" si="16"/>
        <v>1.9099999999999999E-2</v>
      </c>
      <c r="Q90" s="434">
        <f t="shared" si="16"/>
        <v>1.5800000000000002E-2</v>
      </c>
      <c r="R90" s="434">
        <f t="shared" si="16"/>
        <v>1.09E-2</v>
      </c>
      <c r="S90" s="557"/>
      <c r="T90" s="558"/>
    </row>
    <row r="91" spans="1:20">
      <c r="A91" s="60" t="s">
        <v>172</v>
      </c>
      <c r="B91" s="72" t="s">
        <v>50</v>
      </c>
      <c r="C91" s="308">
        <v>6.7000000000000004E-2</v>
      </c>
      <c r="D91" s="309">
        <v>0.63980000000000004</v>
      </c>
      <c r="E91" s="310">
        <v>0.65</v>
      </c>
      <c r="F91" s="310">
        <v>0.34984411379298247</v>
      </c>
      <c r="G91" s="341">
        <v>2014</v>
      </c>
      <c r="H91" s="342" t="str">
        <f t="shared" si="6"/>
        <v>£m 09/10</v>
      </c>
      <c r="I91" s="342" t="s">
        <v>268</v>
      </c>
      <c r="J91" s="426" t="s">
        <v>469</v>
      </c>
      <c r="K91" s="436">
        <f t="shared" si="16"/>
        <v>2.92E-2</v>
      </c>
      <c r="L91" s="434">
        <f t="shared" si="16"/>
        <v>2.7199999999999998E-2</v>
      </c>
      <c r="M91" s="434">
        <f t="shared" si="16"/>
        <v>2.5499999999999998E-2</v>
      </c>
      <c r="N91" s="434">
        <f t="shared" si="16"/>
        <v>2.3800000000000002E-2</v>
      </c>
      <c r="O91" s="434">
        <f t="shared" si="16"/>
        <v>2.2200000000000001E-2</v>
      </c>
      <c r="P91" s="434">
        <f t="shared" si="16"/>
        <v>1.9099999999999999E-2</v>
      </c>
      <c r="Q91" s="434">
        <f t="shared" si="16"/>
        <v>1.5800000000000002E-2</v>
      </c>
      <c r="R91" s="434">
        <f t="shared" si="16"/>
        <v>1.09E-2</v>
      </c>
      <c r="S91" s="557"/>
      <c r="T91" s="558"/>
    </row>
    <row r="92" spans="1:20">
      <c r="A92" s="60" t="s">
        <v>172</v>
      </c>
      <c r="B92" s="72" t="s">
        <v>52</v>
      </c>
      <c r="C92" s="308">
        <v>6.7000000000000004E-2</v>
      </c>
      <c r="D92" s="309">
        <v>0.63729999999999998</v>
      </c>
      <c r="E92" s="310">
        <v>0.65</v>
      </c>
      <c r="F92" s="310">
        <v>0.35129049661183626</v>
      </c>
      <c r="G92" s="341">
        <v>2014</v>
      </c>
      <c r="H92" s="342" t="str">
        <f t="shared" si="6"/>
        <v>£m 09/10</v>
      </c>
      <c r="I92" s="342" t="s">
        <v>268</v>
      </c>
      <c r="J92" s="426" t="s">
        <v>469</v>
      </c>
      <c r="K92" s="436">
        <f t="shared" si="16"/>
        <v>2.92E-2</v>
      </c>
      <c r="L92" s="434">
        <f t="shared" si="16"/>
        <v>2.7199999999999998E-2</v>
      </c>
      <c r="M92" s="434">
        <f t="shared" si="16"/>
        <v>2.5499999999999998E-2</v>
      </c>
      <c r="N92" s="434">
        <f t="shared" si="16"/>
        <v>2.3800000000000002E-2</v>
      </c>
      <c r="O92" s="434">
        <f t="shared" si="16"/>
        <v>2.2200000000000001E-2</v>
      </c>
      <c r="P92" s="434">
        <f t="shared" si="16"/>
        <v>1.9099999999999999E-2</v>
      </c>
      <c r="Q92" s="434">
        <f t="shared" si="16"/>
        <v>1.5800000000000002E-2</v>
      </c>
      <c r="R92" s="434">
        <f t="shared" si="16"/>
        <v>1.09E-2</v>
      </c>
      <c r="S92" s="557"/>
      <c r="T92" s="558"/>
    </row>
    <row r="93" spans="1:20">
      <c r="A93" s="60" t="s">
        <v>172</v>
      </c>
      <c r="B93" s="72" t="s">
        <v>51</v>
      </c>
      <c r="C93" s="308">
        <v>6.7000000000000004E-2</v>
      </c>
      <c r="D93" s="309">
        <v>0.63729999999999998</v>
      </c>
      <c r="E93" s="310">
        <v>0.65</v>
      </c>
      <c r="F93" s="310">
        <v>0.32230855902021693</v>
      </c>
      <c r="G93" s="341">
        <v>2014</v>
      </c>
      <c r="H93" s="342" t="str">
        <f t="shared" si="6"/>
        <v>£m 09/10</v>
      </c>
      <c r="I93" s="342" t="s">
        <v>268</v>
      </c>
      <c r="J93" s="426" t="s">
        <v>469</v>
      </c>
      <c r="K93" s="436">
        <f t="shared" si="16"/>
        <v>2.92E-2</v>
      </c>
      <c r="L93" s="434">
        <f t="shared" si="16"/>
        <v>2.7199999999999998E-2</v>
      </c>
      <c r="M93" s="434">
        <f t="shared" si="16"/>
        <v>2.5499999999999998E-2</v>
      </c>
      <c r="N93" s="434">
        <f t="shared" si="16"/>
        <v>2.3800000000000002E-2</v>
      </c>
      <c r="O93" s="434">
        <f t="shared" si="16"/>
        <v>2.2200000000000001E-2</v>
      </c>
      <c r="P93" s="434">
        <f t="shared" si="16"/>
        <v>1.9099999999999999E-2</v>
      </c>
      <c r="Q93" s="434">
        <f t="shared" si="16"/>
        <v>1.5800000000000002E-2</v>
      </c>
      <c r="R93" s="434">
        <f t="shared" si="16"/>
        <v>1.09E-2</v>
      </c>
      <c r="S93" s="557"/>
      <c r="T93" s="558"/>
    </row>
    <row r="94" spans="1:20">
      <c r="A94" s="60" t="s">
        <v>172</v>
      </c>
      <c r="B94" s="72" t="s">
        <v>49</v>
      </c>
      <c r="C94" s="308">
        <v>6.7000000000000004E-2</v>
      </c>
      <c r="D94" s="309">
        <v>0.63170000000000004</v>
      </c>
      <c r="E94" s="310">
        <v>0.65</v>
      </c>
      <c r="F94" s="310">
        <v>0.35781904469402892</v>
      </c>
      <c r="G94" s="341">
        <v>2014</v>
      </c>
      <c r="H94" s="342" t="str">
        <f t="shared" si="6"/>
        <v>£m 09/10</v>
      </c>
      <c r="I94" s="342" t="s">
        <v>268</v>
      </c>
      <c r="J94" s="426" t="s">
        <v>469</v>
      </c>
      <c r="K94" s="436">
        <f t="shared" si="16"/>
        <v>2.92E-2</v>
      </c>
      <c r="L94" s="434">
        <f t="shared" si="16"/>
        <v>2.7199999999999998E-2</v>
      </c>
      <c r="M94" s="434">
        <f t="shared" si="16"/>
        <v>2.5499999999999998E-2</v>
      </c>
      <c r="N94" s="434">
        <f t="shared" si="16"/>
        <v>2.3800000000000002E-2</v>
      </c>
      <c r="O94" s="434">
        <f t="shared" si="16"/>
        <v>2.2200000000000001E-2</v>
      </c>
      <c r="P94" s="434">
        <f t="shared" si="16"/>
        <v>1.9099999999999999E-2</v>
      </c>
      <c r="Q94" s="434">
        <f t="shared" si="16"/>
        <v>1.5800000000000002E-2</v>
      </c>
      <c r="R94" s="434">
        <f t="shared" si="16"/>
        <v>1.09E-2</v>
      </c>
      <c r="S94" s="557"/>
      <c r="T94" s="558"/>
    </row>
    <row r="95" spans="1:20">
      <c r="A95" s="60" t="s">
        <v>174</v>
      </c>
      <c r="B95" s="72" t="s">
        <v>113</v>
      </c>
      <c r="C95" s="308">
        <v>6.8000000000000005E-2</v>
      </c>
      <c r="D95" s="309">
        <v>0.44359999999999999</v>
      </c>
      <c r="E95" s="310">
        <v>0.625</v>
      </c>
      <c r="F95" s="310">
        <v>0.64400000000000002</v>
      </c>
      <c r="G95" s="341">
        <v>2014</v>
      </c>
      <c r="H95" s="342" t="str">
        <f t="shared" si="6"/>
        <v>£m 09/10</v>
      </c>
      <c r="I95" s="342" t="s">
        <v>268</v>
      </c>
      <c r="J95" s="426" t="s">
        <v>469</v>
      </c>
      <c r="K95" s="436">
        <f t="shared" ref="K95:R96" si="17">C$68</f>
        <v>2.92E-2</v>
      </c>
      <c r="L95" s="434">
        <f t="shared" si="17"/>
        <v>2.7199999999999998E-2</v>
      </c>
      <c r="M95" s="434">
        <f t="shared" si="17"/>
        <v>2.5499999999999998E-2</v>
      </c>
      <c r="N95" s="434">
        <f t="shared" si="17"/>
        <v>2.3800000000000002E-2</v>
      </c>
      <c r="O95" s="434">
        <f t="shared" si="17"/>
        <v>2.2200000000000001E-2</v>
      </c>
      <c r="P95" s="434">
        <f t="shared" si="17"/>
        <v>1.9099999999999999E-2</v>
      </c>
      <c r="Q95" s="434">
        <f t="shared" si="17"/>
        <v>1.5800000000000002E-2</v>
      </c>
      <c r="R95" s="434">
        <f t="shared" si="17"/>
        <v>1.09E-2</v>
      </c>
      <c r="S95" s="557"/>
      <c r="T95" s="558"/>
    </row>
    <row r="96" spans="1:20">
      <c r="A96" s="60" t="s">
        <v>174</v>
      </c>
      <c r="B96" s="72" t="s">
        <v>114</v>
      </c>
      <c r="C96" s="308">
        <v>6.8000000000000005E-2</v>
      </c>
      <c r="D96" s="309">
        <v>0.44359999999999999</v>
      </c>
      <c r="E96" s="310">
        <v>0.625</v>
      </c>
      <c r="F96" s="310">
        <v>0.374</v>
      </c>
      <c r="G96" s="341">
        <v>2014</v>
      </c>
      <c r="H96" s="342" t="str">
        <f t="shared" si="6"/>
        <v>£m 09/10</v>
      </c>
      <c r="I96" s="342" t="s">
        <v>268</v>
      </c>
      <c r="J96" s="426" t="s">
        <v>469</v>
      </c>
      <c r="K96" s="436">
        <f t="shared" si="17"/>
        <v>2.92E-2</v>
      </c>
      <c r="L96" s="434">
        <f t="shared" si="17"/>
        <v>2.7199999999999998E-2</v>
      </c>
      <c r="M96" s="434">
        <f t="shared" si="17"/>
        <v>2.5499999999999998E-2</v>
      </c>
      <c r="N96" s="434">
        <f t="shared" si="17"/>
        <v>2.3800000000000002E-2</v>
      </c>
      <c r="O96" s="434">
        <f t="shared" si="17"/>
        <v>2.2200000000000001E-2</v>
      </c>
      <c r="P96" s="434">
        <f t="shared" si="17"/>
        <v>1.9099999999999999E-2</v>
      </c>
      <c r="Q96" s="434">
        <f t="shared" si="17"/>
        <v>1.5800000000000002E-2</v>
      </c>
      <c r="R96" s="434">
        <f t="shared" si="17"/>
        <v>1.09E-2</v>
      </c>
      <c r="S96" s="557"/>
      <c r="T96" s="558"/>
    </row>
    <row r="97" spans="1:20">
      <c r="A97" s="60" t="s">
        <v>173</v>
      </c>
      <c r="B97" s="72" t="s">
        <v>111</v>
      </c>
      <c r="C97" s="308">
        <v>7.0000000000000007E-2</v>
      </c>
      <c r="D97" s="309">
        <v>0.46889999999999998</v>
      </c>
      <c r="E97" s="310">
        <v>0.6</v>
      </c>
      <c r="F97" s="310">
        <v>0.85</v>
      </c>
      <c r="G97" s="341">
        <v>2014</v>
      </c>
      <c r="H97" s="342" t="str">
        <f t="shared" si="6"/>
        <v>£m 09/10</v>
      </c>
      <c r="I97" s="342" t="s">
        <v>268</v>
      </c>
      <c r="J97" s="426" t="s">
        <v>469</v>
      </c>
      <c r="K97" s="436">
        <f t="shared" ref="K97:R99" si="18">C$66</f>
        <v>2.92E-2</v>
      </c>
      <c r="L97" s="434">
        <f t="shared" si="18"/>
        <v>2.7199999999999998E-2</v>
      </c>
      <c r="M97" s="434">
        <f t="shared" si="18"/>
        <v>2.5499999999999998E-2</v>
      </c>
      <c r="N97" s="434">
        <f t="shared" si="18"/>
        <v>2.3800000000000002E-2</v>
      </c>
      <c r="O97" s="434">
        <f t="shared" si="18"/>
        <v>2.2200000000000001E-2</v>
      </c>
      <c r="P97" s="434">
        <f t="shared" si="18"/>
        <v>1.9099999999999999E-2</v>
      </c>
      <c r="Q97" s="434">
        <f t="shared" si="18"/>
        <v>1.5800000000000002E-2</v>
      </c>
      <c r="R97" s="434">
        <f t="shared" si="18"/>
        <v>1.09E-2</v>
      </c>
      <c r="S97" s="557"/>
      <c r="T97" s="558"/>
    </row>
    <row r="98" spans="1:20">
      <c r="A98" s="60" t="s">
        <v>173</v>
      </c>
      <c r="B98" s="72" t="s">
        <v>563</v>
      </c>
      <c r="C98" s="308">
        <v>7.0000000000000007E-2</v>
      </c>
      <c r="D98" s="309">
        <v>0.46889999999999998</v>
      </c>
      <c r="E98" s="310">
        <v>0.6</v>
      </c>
      <c r="F98" s="310">
        <v>0.27900000000000003</v>
      </c>
      <c r="G98" s="327">
        <v>2014</v>
      </c>
      <c r="H98" s="328" t="str">
        <f>VLOOKUP($A98,$E$54:$F$57,2,FALSE)</f>
        <v>£m 09/10</v>
      </c>
      <c r="I98" s="325" t="s">
        <v>268</v>
      </c>
      <c r="J98" s="426" t="s">
        <v>469</v>
      </c>
      <c r="K98" s="436">
        <f t="shared" si="18"/>
        <v>2.92E-2</v>
      </c>
      <c r="L98" s="434">
        <f t="shared" si="18"/>
        <v>2.7199999999999998E-2</v>
      </c>
      <c r="M98" s="434">
        <f t="shared" si="18"/>
        <v>2.5499999999999998E-2</v>
      </c>
      <c r="N98" s="434">
        <f t="shared" si="18"/>
        <v>2.3800000000000002E-2</v>
      </c>
      <c r="O98" s="434">
        <f t="shared" si="18"/>
        <v>2.2200000000000001E-2</v>
      </c>
      <c r="P98" s="434">
        <f t="shared" si="18"/>
        <v>1.9099999999999999E-2</v>
      </c>
      <c r="Q98" s="434">
        <f t="shared" si="18"/>
        <v>1.5800000000000002E-2</v>
      </c>
      <c r="R98" s="434">
        <f t="shared" si="18"/>
        <v>1.09E-2</v>
      </c>
      <c r="S98" s="557"/>
      <c r="T98" s="558"/>
    </row>
    <row r="99" spans="1:20">
      <c r="A99" s="60" t="s">
        <v>173</v>
      </c>
      <c r="B99" s="72" t="s">
        <v>60</v>
      </c>
      <c r="C99" s="308">
        <v>7.0000000000000007E-2</v>
      </c>
      <c r="D99" s="309">
        <v>0.5</v>
      </c>
      <c r="E99" s="310">
        <v>0.55000000000000004</v>
      </c>
      <c r="F99" s="310">
        <v>0.9</v>
      </c>
      <c r="G99" s="327">
        <v>2014</v>
      </c>
      <c r="H99" s="328" t="str">
        <f>VLOOKUP($A99,$E$54:$F$57,2,FALSE)</f>
        <v>£m 09/10</v>
      </c>
      <c r="I99" s="325" t="s">
        <v>269</v>
      </c>
      <c r="J99" s="426" t="s">
        <v>469</v>
      </c>
      <c r="K99" s="436">
        <f t="shared" si="18"/>
        <v>2.92E-2</v>
      </c>
      <c r="L99" s="434">
        <f t="shared" si="18"/>
        <v>2.7199999999999998E-2</v>
      </c>
      <c r="M99" s="434">
        <f t="shared" si="18"/>
        <v>2.5499999999999998E-2</v>
      </c>
      <c r="N99" s="434">
        <f t="shared" si="18"/>
        <v>2.3800000000000002E-2</v>
      </c>
      <c r="O99" s="434">
        <f t="shared" si="18"/>
        <v>2.2200000000000001E-2</v>
      </c>
      <c r="P99" s="434">
        <f t="shared" si="18"/>
        <v>1.9099999999999999E-2</v>
      </c>
      <c r="Q99" s="434">
        <f t="shared" si="18"/>
        <v>1.5800000000000002E-2</v>
      </c>
      <c r="R99" s="434">
        <f t="shared" si="18"/>
        <v>1.09E-2</v>
      </c>
      <c r="S99" s="557"/>
      <c r="T99" s="558"/>
    </row>
    <row r="100" spans="1:20">
      <c r="A100" s="60" t="s">
        <v>173</v>
      </c>
      <c r="B100" s="73" t="s">
        <v>61</v>
      </c>
      <c r="C100" s="311">
        <v>7.0000000000000007E-2</v>
      </c>
      <c r="D100" s="312">
        <v>0.5</v>
      </c>
      <c r="E100" s="313">
        <v>0.55000000000000004</v>
      </c>
      <c r="F100" s="313">
        <v>0.9</v>
      </c>
      <c r="G100" s="329">
        <v>2014</v>
      </c>
      <c r="H100" s="330" t="str">
        <f>VLOOKUP($A100,$E$54:$F$57,2,FALSE)</f>
        <v>£m 09/10</v>
      </c>
      <c r="I100" s="326" t="s">
        <v>269</v>
      </c>
      <c r="J100" s="426" t="s">
        <v>469</v>
      </c>
      <c r="K100" s="437">
        <f t="shared" ref="K100:R100" si="19">C$65</f>
        <v>2.92E-2</v>
      </c>
      <c r="L100" s="435">
        <f t="shared" si="19"/>
        <v>2.5000000000000001E-2</v>
      </c>
      <c r="M100" s="435">
        <f t="shared" si="19"/>
        <v>2.1499999999999998E-2</v>
      </c>
      <c r="N100" s="435">
        <f t="shared" si="19"/>
        <v>1.7899999999999999E-2</v>
      </c>
      <c r="O100" s="435">
        <f t="shared" si="19"/>
        <v>1.5100000000000001E-2</v>
      </c>
      <c r="P100" s="435">
        <f t="shared" si="19"/>
        <v>1.1599999999999999E-2</v>
      </c>
      <c r="Q100" s="435">
        <f t="shared" si="19"/>
        <v>1.0200000000000001E-2</v>
      </c>
      <c r="R100" s="435">
        <f t="shared" si="19"/>
        <v>7.6E-3</v>
      </c>
      <c r="S100" s="559"/>
      <c r="T100" s="560"/>
    </row>
    <row r="101" spans="1:20">
      <c r="I101" s="67"/>
    </row>
    <row r="102" spans="1:20">
      <c r="I102" s="67"/>
    </row>
    <row r="103" spans="1:20">
      <c r="I103" s="67"/>
    </row>
    <row r="104" spans="1:20" ht="13.5">
      <c r="B104" s="14" t="s">
        <v>248</v>
      </c>
      <c r="D104" s="299"/>
      <c r="E104" s="299"/>
      <c r="F104" s="299"/>
      <c r="G104" s="299"/>
      <c r="H104" s="299"/>
      <c r="I104" s="299"/>
      <c r="J104" s="299"/>
    </row>
    <row r="105" spans="1:20">
      <c r="B105" s="14"/>
      <c r="C105" s="118">
        <v>2014</v>
      </c>
      <c r="D105" s="119">
        <f>C105+1</f>
        <v>2015</v>
      </c>
      <c r="E105" s="119">
        <f t="shared" ref="E105:J105" si="20">D105+1</f>
        <v>2016</v>
      </c>
      <c r="F105" s="119">
        <f>E105+1</f>
        <v>2017</v>
      </c>
      <c r="G105" s="119">
        <f t="shared" si="20"/>
        <v>2018</v>
      </c>
      <c r="H105" s="119">
        <f t="shared" si="20"/>
        <v>2019</v>
      </c>
      <c r="I105" s="119">
        <f t="shared" si="20"/>
        <v>2020</v>
      </c>
      <c r="J105" s="119">
        <f t="shared" si="20"/>
        <v>2021</v>
      </c>
    </row>
    <row r="106" spans="1:20">
      <c r="B106" s="303" t="s">
        <v>53</v>
      </c>
      <c r="C106" s="300">
        <v>0.5</v>
      </c>
      <c r="D106" s="300">
        <v>0.5714285714285714</v>
      </c>
      <c r="E106" s="300">
        <v>0.64285714285714279</v>
      </c>
      <c r="F106" s="300">
        <v>0.71428571428571419</v>
      </c>
      <c r="G106" s="300">
        <v>0.78571428571428559</v>
      </c>
      <c r="H106" s="300">
        <v>0.85714285714285698</v>
      </c>
      <c r="I106" s="300">
        <v>0.92857142857142838</v>
      </c>
      <c r="J106" s="301">
        <v>1</v>
      </c>
    </row>
    <row r="107" spans="1:20">
      <c r="B107" s="304" t="s">
        <v>54</v>
      </c>
      <c r="C107" s="220">
        <v>0.5</v>
      </c>
      <c r="D107" s="220">
        <v>0.5714285714285714</v>
      </c>
      <c r="E107" s="220">
        <v>0.64285714285714279</v>
      </c>
      <c r="F107" s="220">
        <v>0.71428571428571419</v>
      </c>
      <c r="G107" s="220">
        <v>0.78571428571428559</v>
      </c>
      <c r="H107" s="220">
        <v>0.85714285714285698</v>
      </c>
      <c r="I107" s="220">
        <v>0.92857142857142838</v>
      </c>
      <c r="J107" s="221">
        <v>1</v>
      </c>
    </row>
    <row r="108" spans="1:20">
      <c r="B108" s="304" t="s">
        <v>55</v>
      </c>
      <c r="C108" s="220">
        <v>0.5</v>
      </c>
      <c r="D108" s="220">
        <v>0.5714285714285714</v>
      </c>
      <c r="E108" s="220">
        <v>0.64285714285714279</v>
      </c>
      <c r="F108" s="220">
        <v>0.71428571428571419</v>
      </c>
      <c r="G108" s="220">
        <v>0.78571428571428559</v>
      </c>
      <c r="H108" s="220">
        <v>0.85714285714285698</v>
      </c>
      <c r="I108" s="220">
        <v>0.92857142857142838</v>
      </c>
      <c r="J108" s="221">
        <v>1</v>
      </c>
    </row>
    <row r="109" spans="1:20">
      <c r="B109" s="304" t="s">
        <v>56</v>
      </c>
      <c r="C109" s="220">
        <v>0.5</v>
      </c>
      <c r="D109" s="220">
        <v>0.5714285714285714</v>
      </c>
      <c r="E109" s="220">
        <v>0.64285714285714279</v>
      </c>
      <c r="F109" s="220">
        <v>0.71428571428571419</v>
      </c>
      <c r="G109" s="220">
        <v>0.78571428571428559</v>
      </c>
      <c r="H109" s="220">
        <v>0.85714285714285698</v>
      </c>
      <c r="I109" s="220">
        <v>0.92857142857142838</v>
      </c>
      <c r="J109" s="221">
        <v>1</v>
      </c>
    </row>
    <row r="110" spans="1:20">
      <c r="B110" s="304" t="s">
        <v>50</v>
      </c>
      <c r="C110" s="220">
        <v>0.5</v>
      </c>
      <c r="D110" s="220">
        <v>0.5714285714285714</v>
      </c>
      <c r="E110" s="220">
        <v>0.64285714285714279</v>
      </c>
      <c r="F110" s="220">
        <v>0.71428571428571419</v>
      </c>
      <c r="G110" s="220">
        <v>0.78571428571428559</v>
      </c>
      <c r="H110" s="220">
        <v>0.85714285714285698</v>
      </c>
      <c r="I110" s="220">
        <v>0.92857142857142838</v>
      </c>
      <c r="J110" s="221">
        <v>1</v>
      </c>
    </row>
    <row r="111" spans="1:20">
      <c r="B111" s="304" t="s">
        <v>52</v>
      </c>
      <c r="C111" s="220">
        <v>0.5</v>
      </c>
      <c r="D111" s="220">
        <v>0.5714285714285714</v>
      </c>
      <c r="E111" s="220">
        <v>0.64285714285714279</v>
      </c>
      <c r="F111" s="220">
        <v>0.71428571428571419</v>
      </c>
      <c r="G111" s="220">
        <v>0.78571428571428559</v>
      </c>
      <c r="H111" s="220">
        <v>0.85714285714285698</v>
      </c>
      <c r="I111" s="220">
        <v>0.92857142857142838</v>
      </c>
      <c r="J111" s="221">
        <v>1</v>
      </c>
    </row>
    <row r="112" spans="1:20">
      <c r="B112" s="304" t="s">
        <v>51</v>
      </c>
      <c r="C112" s="220">
        <v>0.5</v>
      </c>
      <c r="D112" s="220">
        <v>0.5714285714285714</v>
      </c>
      <c r="E112" s="220">
        <v>0.64285714285714279</v>
      </c>
      <c r="F112" s="220">
        <v>0.71428571428571419</v>
      </c>
      <c r="G112" s="220">
        <v>0.78571428571428559</v>
      </c>
      <c r="H112" s="220">
        <v>0.85714285714285698</v>
      </c>
      <c r="I112" s="220">
        <v>0.92857142857142838</v>
      </c>
      <c r="J112" s="221">
        <v>1</v>
      </c>
    </row>
    <row r="113" spans="2:15">
      <c r="B113" s="419" t="s">
        <v>49</v>
      </c>
      <c r="C113" s="420">
        <v>0.5</v>
      </c>
      <c r="D113" s="420">
        <v>0.5714285714285714</v>
      </c>
      <c r="E113" s="420">
        <v>0.64285714285714279</v>
      </c>
      <c r="F113" s="420">
        <v>0.71428571428571419</v>
      </c>
      <c r="G113" s="420">
        <v>0.78571428571428559</v>
      </c>
      <c r="H113" s="420">
        <v>0.85714285714285698</v>
      </c>
      <c r="I113" s="420">
        <v>0.92857142857142838</v>
      </c>
      <c r="J113" s="421">
        <v>1</v>
      </c>
    </row>
    <row r="114" spans="2:15">
      <c r="B114" s="304" t="s">
        <v>113</v>
      </c>
      <c r="C114" s="220">
        <v>0.9</v>
      </c>
      <c r="D114" s="220">
        <v>0.9</v>
      </c>
      <c r="E114" s="220">
        <v>0.9</v>
      </c>
      <c r="F114" s="220">
        <v>0.9</v>
      </c>
      <c r="G114" s="220">
        <v>0.9</v>
      </c>
      <c r="H114" s="220">
        <v>0.9</v>
      </c>
      <c r="I114" s="220">
        <v>0.9</v>
      </c>
      <c r="J114" s="221">
        <v>0.9</v>
      </c>
    </row>
    <row r="115" spans="2:15">
      <c r="B115" s="305" t="s">
        <v>114</v>
      </c>
      <c r="C115" s="564"/>
      <c r="D115" s="564"/>
      <c r="E115" s="564"/>
      <c r="F115" s="564"/>
      <c r="G115" s="564"/>
      <c r="H115" s="564"/>
      <c r="I115" s="564"/>
      <c r="J115" s="564"/>
    </row>
    <row r="116" spans="2:15">
      <c r="B116" s="401"/>
      <c r="C116" s="460"/>
      <c r="D116" s="460"/>
      <c r="E116" s="460"/>
      <c r="F116" s="460"/>
      <c r="G116" s="460"/>
      <c r="H116" s="460"/>
      <c r="I116" s="460"/>
      <c r="J116" s="460"/>
      <c r="M116" s="31"/>
      <c r="N116" s="31"/>
      <c r="O116" s="31"/>
    </row>
    <row r="117" spans="2:15">
      <c r="B117" s="401"/>
      <c r="C117" s="460"/>
      <c r="D117" s="460"/>
      <c r="E117" s="460"/>
      <c r="F117" s="460"/>
      <c r="G117" s="460"/>
      <c r="H117" s="460"/>
      <c r="I117" s="460"/>
      <c r="J117" s="460"/>
      <c r="K117" s="367"/>
      <c r="L117" s="367"/>
      <c r="M117" s="31"/>
      <c r="N117" s="31"/>
      <c r="O117" s="31"/>
    </row>
    <row r="118" spans="2:15">
      <c r="B118" s="470" t="s">
        <v>213</v>
      </c>
      <c r="C118" s="118">
        <v>2014</v>
      </c>
      <c r="D118" s="119">
        <f t="shared" ref="D118:L118" si="21">C118+1</f>
        <v>2015</v>
      </c>
      <c r="E118" s="119">
        <f t="shared" si="21"/>
        <v>2016</v>
      </c>
      <c r="F118" s="119">
        <f t="shared" si="21"/>
        <v>2017</v>
      </c>
      <c r="G118" s="119">
        <f t="shared" si="21"/>
        <v>2018</v>
      </c>
      <c r="H118" s="119">
        <f t="shared" si="21"/>
        <v>2019</v>
      </c>
      <c r="I118" s="119">
        <f t="shared" si="21"/>
        <v>2020</v>
      </c>
      <c r="J118" s="119">
        <f t="shared" si="21"/>
        <v>2021</v>
      </c>
      <c r="K118" s="119">
        <f t="shared" si="21"/>
        <v>2022</v>
      </c>
      <c r="L118" s="196">
        <f t="shared" si="21"/>
        <v>2023</v>
      </c>
      <c r="M118" s="31"/>
      <c r="N118" s="31"/>
      <c r="O118" s="31"/>
    </row>
    <row r="119" spans="2:15">
      <c r="B119" s="461" t="s">
        <v>43</v>
      </c>
      <c r="C119" s="561"/>
      <c r="D119" s="562"/>
      <c r="E119" s="463">
        <v>1.5575632164737283</v>
      </c>
      <c r="F119" s="463">
        <v>1.4734141240658321</v>
      </c>
      <c r="G119" s="463">
        <v>1.4689588897025405</v>
      </c>
      <c r="H119" s="463">
        <v>1.4707200530126929</v>
      </c>
      <c r="I119" s="463">
        <v>1.4674716260161711</v>
      </c>
      <c r="J119" s="463">
        <v>1.4486206224386007</v>
      </c>
      <c r="K119" s="463">
        <v>1.4956798325868756</v>
      </c>
      <c r="L119" s="464">
        <v>1.4397148718051931</v>
      </c>
      <c r="M119" s="31"/>
      <c r="N119" s="31"/>
      <c r="O119" s="31"/>
    </row>
    <row r="120" spans="2:15">
      <c r="B120" s="461" t="s">
        <v>44</v>
      </c>
      <c r="C120" s="563"/>
      <c r="D120" s="564"/>
      <c r="E120" s="465">
        <v>-0.65871781800535345</v>
      </c>
      <c r="F120" s="465">
        <v>-0.63543772576063684</v>
      </c>
      <c r="G120" s="465">
        <v>-0.58907862874233818</v>
      </c>
      <c r="H120" s="465">
        <v>-0.58178188190178026</v>
      </c>
      <c r="I120" s="465">
        <v>-0.56823918867341305</v>
      </c>
      <c r="J120" s="465">
        <v>-0.51933170333654122</v>
      </c>
      <c r="K120" s="465">
        <v>-0.47962665852661612</v>
      </c>
      <c r="L120" s="466">
        <v>-0.4656874701170608</v>
      </c>
      <c r="M120" s="31"/>
      <c r="N120" s="31"/>
      <c r="O120" s="31"/>
    </row>
    <row r="121" spans="2:15">
      <c r="B121" s="461" t="s">
        <v>73</v>
      </c>
      <c r="C121" s="563"/>
      <c r="D121" s="564"/>
      <c r="E121" s="465">
        <v>-0.86626036283610952</v>
      </c>
      <c r="F121" s="465">
        <v>-0.81019773780890636</v>
      </c>
      <c r="G121" s="465">
        <v>-0.78919084241395188</v>
      </c>
      <c r="H121" s="465">
        <v>-0.79061873066036981</v>
      </c>
      <c r="I121" s="465">
        <v>-0.74432653414361061</v>
      </c>
      <c r="J121" s="465">
        <v>-0.70697274816976396</v>
      </c>
      <c r="K121" s="465">
        <v>-0.65350946162011747</v>
      </c>
      <c r="L121" s="466">
        <v>-0.66429758885743451</v>
      </c>
      <c r="M121" s="31"/>
      <c r="N121" s="31"/>
      <c r="O121" s="31"/>
    </row>
    <row r="122" spans="2:15">
      <c r="B122" s="461" t="s">
        <v>59</v>
      </c>
      <c r="C122" s="563"/>
      <c r="D122" s="564"/>
      <c r="E122" s="465">
        <v>-3.2612134183503572</v>
      </c>
      <c r="F122" s="465">
        <v>-3.3462554451402173</v>
      </c>
      <c r="G122" s="465">
        <v>-3.1732919768141143</v>
      </c>
      <c r="H122" s="465">
        <v>-3.1232404745251841</v>
      </c>
      <c r="I122" s="465">
        <v>-3.0767551306224106</v>
      </c>
      <c r="J122" s="465">
        <v>-2.9342177182087767</v>
      </c>
      <c r="K122" s="465">
        <v>-2.8825938479182072</v>
      </c>
      <c r="L122" s="466">
        <v>-2.7237011003750218</v>
      </c>
      <c r="M122" s="31"/>
      <c r="N122" s="31"/>
      <c r="O122" s="31"/>
    </row>
    <row r="123" spans="2:15">
      <c r="B123" s="461" t="s">
        <v>57</v>
      </c>
      <c r="C123" s="563"/>
      <c r="D123" s="564"/>
      <c r="E123" s="465">
        <v>-2.4260972367898193</v>
      </c>
      <c r="F123" s="465">
        <v>-2.3690383662844163</v>
      </c>
      <c r="G123" s="465">
        <v>-2.2433276600060932</v>
      </c>
      <c r="H123" s="465">
        <v>-2.1466020621213828</v>
      </c>
      <c r="I123" s="465">
        <v>-2.174009678716605</v>
      </c>
      <c r="J123" s="465">
        <v>-2.0538927838998693</v>
      </c>
      <c r="K123" s="465">
        <v>-1.9044581231060691</v>
      </c>
      <c r="L123" s="466">
        <v>-1.8008611131009082</v>
      </c>
      <c r="M123" s="31"/>
      <c r="N123" s="31"/>
      <c r="O123" s="31"/>
    </row>
    <row r="124" spans="2:15">
      <c r="B124" s="461" t="s">
        <v>58</v>
      </c>
      <c r="C124" s="563"/>
      <c r="D124" s="564"/>
      <c r="E124" s="465">
        <v>-2.1861012409352765</v>
      </c>
      <c r="F124" s="465">
        <v>-2.3820447425774849</v>
      </c>
      <c r="G124" s="465">
        <v>-2.2418672366929897</v>
      </c>
      <c r="H124" s="465">
        <v>-2.1147812646907029</v>
      </c>
      <c r="I124" s="465">
        <v>-2.0146177086326591</v>
      </c>
      <c r="J124" s="465">
        <v>-1.9421313262105093</v>
      </c>
      <c r="K124" s="465">
        <v>-1.9248856430948595</v>
      </c>
      <c r="L124" s="466">
        <v>-1.8464451304225615</v>
      </c>
      <c r="M124" s="31"/>
      <c r="N124" s="31"/>
      <c r="O124" s="31"/>
    </row>
    <row r="125" spans="2:15">
      <c r="B125" s="461" t="s">
        <v>45</v>
      </c>
      <c r="C125" s="563"/>
      <c r="D125" s="564"/>
      <c r="E125" s="465">
        <v>-1.8633532543800757</v>
      </c>
      <c r="F125" s="465">
        <v>-1.8182980405067262</v>
      </c>
      <c r="G125" s="465">
        <v>-1.83946756302578</v>
      </c>
      <c r="H125" s="465">
        <v>-1.7415973428180247</v>
      </c>
      <c r="I125" s="465">
        <v>-1.6798002111470465</v>
      </c>
      <c r="J125" s="465">
        <v>-1.5974456358596774</v>
      </c>
      <c r="K125" s="465">
        <v>-1.5016396120831343</v>
      </c>
      <c r="L125" s="466">
        <v>-1.4453638876860204</v>
      </c>
      <c r="M125" s="31"/>
      <c r="N125" s="31"/>
      <c r="O125" s="31"/>
    </row>
    <row r="126" spans="2:15">
      <c r="B126" s="461" t="s">
        <v>46</v>
      </c>
      <c r="C126" s="563"/>
      <c r="D126" s="564"/>
      <c r="E126" s="465">
        <v>-2.1317145269512103</v>
      </c>
      <c r="F126" s="465">
        <v>-2.193973633026753</v>
      </c>
      <c r="G126" s="465">
        <v>-1.9869010217130036</v>
      </c>
      <c r="H126" s="465">
        <v>-1.8037552784318813</v>
      </c>
      <c r="I126" s="465">
        <v>-1.7767942495618843</v>
      </c>
      <c r="J126" s="465">
        <v>-1.7901472583807538</v>
      </c>
      <c r="K126" s="465">
        <v>-1.6444113686346382</v>
      </c>
      <c r="L126" s="466">
        <v>-1.467384504290556</v>
      </c>
      <c r="M126" s="31"/>
      <c r="N126" s="31"/>
      <c r="O126" s="31"/>
    </row>
    <row r="127" spans="2:15">
      <c r="B127" s="461" t="s">
        <v>47</v>
      </c>
      <c r="C127" s="563"/>
      <c r="D127" s="564"/>
      <c r="E127" s="465">
        <v>0.16599721814464838</v>
      </c>
      <c r="F127" s="465">
        <v>0.16631900606776751</v>
      </c>
      <c r="G127" s="465">
        <v>0.16554337895881124</v>
      </c>
      <c r="H127" s="465">
        <v>0.16569741136821181</v>
      </c>
      <c r="I127" s="465">
        <v>0.16622630759870036</v>
      </c>
      <c r="J127" s="465">
        <v>0.16380302414374548</v>
      </c>
      <c r="K127" s="465">
        <v>0.16593344617950709</v>
      </c>
      <c r="L127" s="466">
        <v>0.16036688822048883</v>
      </c>
      <c r="M127" s="31"/>
      <c r="N127" s="31"/>
      <c r="O127" s="31"/>
    </row>
    <row r="128" spans="2:15">
      <c r="B128" s="461" t="s">
        <v>48</v>
      </c>
      <c r="C128" s="563"/>
      <c r="D128" s="564"/>
      <c r="E128" s="465">
        <v>0.3648271976377423</v>
      </c>
      <c r="F128" s="465">
        <v>0.37109083837102003</v>
      </c>
      <c r="G128" s="465">
        <v>0.36071859106606846</v>
      </c>
      <c r="H128" s="465">
        <v>0.35927814835295946</v>
      </c>
      <c r="I128" s="465">
        <v>0.3227419487574148</v>
      </c>
      <c r="J128" s="465">
        <v>0.32139075529498529</v>
      </c>
      <c r="K128" s="465">
        <v>0.32876178406363676</v>
      </c>
      <c r="L128" s="466">
        <v>0.31920430794598709</v>
      </c>
      <c r="M128" s="31"/>
      <c r="N128" s="31"/>
      <c r="O128" s="31"/>
    </row>
    <row r="129" spans="2:15">
      <c r="B129" s="461" t="s">
        <v>244</v>
      </c>
      <c r="C129" s="563"/>
      <c r="D129" s="564"/>
      <c r="E129" s="465">
        <v>7.1281196754416492</v>
      </c>
      <c r="F129" s="465">
        <v>6.9674138399666772</v>
      </c>
      <c r="G129" s="465">
        <v>6.2034025893135132</v>
      </c>
      <c r="H129" s="465">
        <v>6.3085978915797085</v>
      </c>
      <c r="I129" s="465">
        <v>6.2376648400128394</v>
      </c>
      <c r="J129" s="465">
        <v>6.4865819943041139</v>
      </c>
      <c r="K129" s="465">
        <v>6.8152516624832584</v>
      </c>
      <c r="L129" s="466">
        <v>6.6271056201039169</v>
      </c>
      <c r="M129" s="31"/>
      <c r="N129" s="31"/>
      <c r="O129" s="31"/>
    </row>
    <row r="130" spans="2:15">
      <c r="B130" s="461" t="s">
        <v>245</v>
      </c>
      <c r="C130" s="563"/>
      <c r="D130" s="564"/>
      <c r="E130" s="465">
        <v>6.5079014730517413</v>
      </c>
      <c r="F130" s="465">
        <v>6.5166167406950333</v>
      </c>
      <c r="G130" s="465">
        <v>6.3292456496722922</v>
      </c>
      <c r="H130" s="465">
        <v>6.4407397408462082</v>
      </c>
      <c r="I130" s="465">
        <v>6.6367331985058957</v>
      </c>
      <c r="J130" s="465">
        <v>6.7568163761394304</v>
      </c>
      <c r="K130" s="465">
        <v>6.6961234445143969</v>
      </c>
      <c r="L130" s="466">
        <v>6.7647427548792596</v>
      </c>
      <c r="M130" s="31"/>
      <c r="N130" s="31"/>
      <c r="O130" s="31"/>
    </row>
    <row r="131" spans="2:15">
      <c r="B131" s="461" t="s">
        <v>246</v>
      </c>
      <c r="C131" s="563"/>
      <c r="D131" s="564"/>
      <c r="E131" s="465">
        <v>3.6763138465229663</v>
      </c>
      <c r="F131" s="465">
        <v>3.6748350873956013</v>
      </c>
      <c r="G131" s="465">
        <v>3.4998529635433906</v>
      </c>
      <c r="H131" s="465">
        <v>3.724685546648324</v>
      </c>
      <c r="I131" s="465">
        <v>3.4121739487309477</v>
      </c>
      <c r="J131" s="465">
        <v>3.4202241027689042</v>
      </c>
      <c r="K131" s="465">
        <v>3.3053549439575329</v>
      </c>
      <c r="L131" s="466">
        <v>3.3633285641010966</v>
      </c>
      <c r="M131" s="31"/>
      <c r="N131" s="31"/>
      <c r="O131" s="31"/>
    </row>
    <row r="132" spans="2:15">
      <c r="B132" s="461" t="s">
        <v>247</v>
      </c>
      <c r="C132" s="563"/>
      <c r="D132" s="564"/>
      <c r="E132" s="465">
        <v>5.3762701961708466</v>
      </c>
      <c r="F132" s="465">
        <v>5.3775969760840585</v>
      </c>
      <c r="G132" s="465">
        <v>5.2618102801807671</v>
      </c>
      <c r="H132" s="465">
        <v>5.360849180672294</v>
      </c>
      <c r="I132" s="465">
        <v>5.2665238228731912</v>
      </c>
      <c r="J132" s="465">
        <v>5.3271179030285305</v>
      </c>
      <c r="K132" s="465">
        <v>5.3223294006601192</v>
      </c>
      <c r="L132" s="466">
        <v>5.5699880746272257</v>
      </c>
      <c r="M132" s="31"/>
      <c r="N132" s="31"/>
      <c r="O132" s="31"/>
    </row>
    <row r="133" spans="2:15">
      <c r="B133" s="461" t="s">
        <v>53</v>
      </c>
      <c r="C133" s="467">
        <v>1.4371556068940596</v>
      </c>
      <c r="D133" s="465">
        <v>1.3718015630879741</v>
      </c>
      <c r="E133" s="465">
        <v>1.3507660107019517</v>
      </c>
      <c r="F133" s="465">
        <v>1.356812198977974</v>
      </c>
      <c r="G133" s="465">
        <v>1.3598136386487443</v>
      </c>
      <c r="H133" s="465">
        <v>1.3501475065962032</v>
      </c>
      <c r="I133" s="465">
        <v>1.3298433305384654</v>
      </c>
      <c r="J133" s="465">
        <v>1.3174540960763355</v>
      </c>
      <c r="K133" s="564"/>
      <c r="L133" s="565"/>
      <c r="M133" s="31"/>
      <c r="N133" s="31"/>
      <c r="O133" s="31"/>
    </row>
    <row r="134" spans="2:15">
      <c r="B134" s="461" t="s">
        <v>54</v>
      </c>
      <c r="C134" s="467">
        <v>1.2224510767557433</v>
      </c>
      <c r="D134" s="465">
        <v>1.2198157429394254</v>
      </c>
      <c r="E134" s="465">
        <v>1.2942164825881293</v>
      </c>
      <c r="F134" s="465">
        <v>1.2596396269108345</v>
      </c>
      <c r="G134" s="465">
        <v>1.2840112184368913</v>
      </c>
      <c r="H134" s="465">
        <v>1.2678511857965422</v>
      </c>
      <c r="I134" s="465">
        <v>1.2592019055105816</v>
      </c>
      <c r="J134" s="465">
        <v>1.257376658609527</v>
      </c>
      <c r="K134" s="564"/>
      <c r="L134" s="565"/>
      <c r="M134" s="31"/>
      <c r="N134" s="31"/>
      <c r="O134" s="31"/>
    </row>
    <row r="135" spans="2:15">
      <c r="B135" s="461" t="s">
        <v>55</v>
      </c>
      <c r="C135" s="467">
        <v>0.82325002294811445</v>
      </c>
      <c r="D135" s="465">
        <v>0.82663571281128501</v>
      </c>
      <c r="E135" s="465">
        <v>0.79640504595610451</v>
      </c>
      <c r="F135" s="465">
        <v>0.78757021450124798</v>
      </c>
      <c r="G135" s="465">
        <v>0.81133252861207505</v>
      </c>
      <c r="H135" s="465">
        <v>0.81064228783969072</v>
      </c>
      <c r="I135" s="465">
        <v>0.80900368952296353</v>
      </c>
      <c r="J135" s="465">
        <v>0.78043276967968189</v>
      </c>
      <c r="K135" s="564"/>
      <c r="L135" s="565"/>
      <c r="M135" s="31"/>
      <c r="N135" s="31"/>
      <c r="O135" s="31"/>
    </row>
    <row r="136" spans="2:15">
      <c r="B136" s="461" t="s">
        <v>56</v>
      </c>
      <c r="C136" s="467">
        <v>1.0893959849781105</v>
      </c>
      <c r="D136" s="465">
        <v>1.027913194554035</v>
      </c>
      <c r="E136" s="465">
        <v>1.0066987144123654</v>
      </c>
      <c r="F136" s="465">
        <v>1.0192350900597893</v>
      </c>
      <c r="G136" s="465">
        <v>1.0341480780318344</v>
      </c>
      <c r="H136" s="465">
        <v>1.0204240792759967</v>
      </c>
      <c r="I136" s="465">
        <v>1.0137739549704501</v>
      </c>
      <c r="J136" s="465">
        <v>0.9898055017218621</v>
      </c>
      <c r="K136" s="564"/>
      <c r="L136" s="565"/>
      <c r="M136" s="31"/>
      <c r="N136" s="31"/>
      <c r="O136" s="31"/>
    </row>
    <row r="137" spans="2:15">
      <c r="B137" s="461" t="s">
        <v>50</v>
      </c>
      <c r="C137" s="467">
        <v>3.0675250143183739</v>
      </c>
      <c r="D137" s="465">
        <v>3.1629219417602221</v>
      </c>
      <c r="E137" s="465">
        <v>3.2156604222069194</v>
      </c>
      <c r="F137" s="465">
        <v>3.1773534622131239</v>
      </c>
      <c r="G137" s="465">
        <v>2.9925267771957293</v>
      </c>
      <c r="H137" s="465">
        <v>2.9953978987575276</v>
      </c>
      <c r="I137" s="465">
        <v>3.008780645638939</v>
      </c>
      <c r="J137" s="465">
        <v>3.0035530345258876</v>
      </c>
      <c r="K137" s="564"/>
      <c r="L137" s="565"/>
      <c r="M137" s="31"/>
      <c r="N137" s="31"/>
      <c r="O137" s="31"/>
    </row>
    <row r="138" spans="2:15">
      <c r="B138" s="461" t="s">
        <v>52</v>
      </c>
      <c r="C138" s="467">
        <v>2.1240897362733717</v>
      </c>
      <c r="D138" s="465">
        <v>2.0350723340362249</v>
      </c>
      <c r="E138" s="465">
        <v>1.9686998072928457</v>
      </c>
      <c r="F138" s="465">
        <v>2.0858456765056492</v>
      </c>
      <c r="G138" s="465">
        <v>2.1150393198028121</v>
      </c>
      <c r="H138" s="465">
        <v>2.0960407823683633</v>
      </c>
      <c r="I138" s="465">
        <v>1.9709648894580449</v>
      </c>
      <c r="J138" s="465">
        <v>1.9558237270696361</v>
      </c>
      <c r="K138" s="564"/>
      <c r="L138" s="565"/>
      <c r="M138" s="31"/>
      <c r="N138" s="31"/>
      <c r="O138" s="31"/>
    </row>
    <row r="139" spans="2:15">
      <c r="B139" s="461" t="s">
        <v>51</v>
      </c>
      <c r="C139" s="467">
        <v>4.3724011747736116</v>
      </c>
      <c r="D139" s="465">
        <v>4.1057641662653896</v>
      </c>
      <c r="E139" s="465">
        <v>4.0545669929819539</v>
      </c>
      <c r="F139" s="465">
        <v>4.1740927460581894</v>
      </c>
      <c r="G139" s="465">
        <v>4.2397101975440528</v>
      </c>
      <c r="H139" s="465">
        <v>4.2461477210751069</v>
      </c>
      <c r="I139" s="465">
        <v>4.1078523076276792</v>
      </c>
      <c r="J139" s="465">
        <v>4.0575944965475035</v>
      </c>
      <c r="K139" s="564"/>
      <c r="L139" s="565"/>
      <c r="M139" s="31"/>
      <c r="N139" s="31"/>
      <c r="O139" s="31"/>
    </row>
    <row r="140" spans="2:15">
      <c r="B140" s="461" t="s">
        <v>49</v>
      </c>
      <c r="C140" s="467">
        <v>1.3982776671905828</v>
      </c>
      <c r="D140" s="465">
        <v>1.3864649866746799</v>
      </c>
      <c r="E140" s="465">
        <v>1.3673040530931269</v>
      </c>
      <c r="F140" s="465">
        <v>1.3493453776780693</v>
      </c>
      <c r="G140" s="465">
        <v>1.3347777856873293</v>
      </c>
      <c r="H140" s="465">
        <v>1.3354887108693174</v>
      </c>
      <c r="I140" s="465">
        <v>1.3597799661606067</v>
      </c>
      <c r="J140" s="465">
        <v>1.3515240072037848</v>
      </c>
      <c r="K140" s="564"/>
      <c r="L140" s="565"/>
      <c r="M140" s="31"/>
      <c r="N140" s="31"/>
      <c r="O140" s="31"/>
    </row>
    <row r="141" spans="2:15">
      <c r="B141" s="461" t="s">
        <v>113</v>
      </c>
      <c r="C141" s="467">
        <v>-1.1295718210052885</v>
      </c>
      <c r="D141" s="465">
        <v>-1.1444007312827333</v>
      </c>
      <c r="E141" s="465">
        <v>-1.1763817360750841</v>
      </c>
      <c r="F141" s="465">
        <v>-1.5927557463957547</v>
      </c>
      <c r="G141" s="465">
        <v>-1.8565667598967899</v>
      </c>
      <c r="H141" s="465">
        <v>-1.2720416735170972</v>
      </c>
      <c r="I141" s="465">
        <v>-1.1039739947823479</v>
      </c>
      <c r="J141" s="465">
        <v>-1.018311326547777</v>
      </c>
      <c r="K141" s="564"/>
      <c r="L141" s="565"/>
      <c r="M141" s="31"/>
      <c r="N141" s="31"/>
      <c r="O141" s="31"/>
    </row>
    <row r="142" spans="2:15">
      <c r="B142" s="461" t="s">
        <v>114</v>
      </c>
      <c r="C142" s="467">
        <v>-0.43181154987245485</v>
      </c>
      <c r="D142" s="465">
        <v>-0.39947195996305995</v>
      </c>
      <c r="E142" s="465">
        <v>-0.34734317043598018</v>
      </c>
      <c r="F142" s="465">
        <v>-0.3193206524905472</v>
      </c>
      <c r="G142" s="465">
        <v>-0.31265626882301373</v>
      </c>
      <c r="H142" s="465">
        <v>-0.30799379948941219</v>
      </c>
      <c r="I142" s="465">
        <v>-0.32570922921081308</v>
      </c>
      <c r="J142" s="465">
        <v>-0.31552026220892354</v>
      </c>
      <c r="K142" s="564"/>
      <c r="L142" s="565"/>
      <c r="M142" s="31"/>
      <c r="N142" s="31"/>
      <c r="O142" s="31"/>
    </row>
    <row r="143" spans="2:15">
      <c r="B143" s="461" t="s">
        <v>111</v>
      </c>
      <c r="C143" s="467">
        <v>15.168246288518162</v>
      </c>
      <c r="D143" s="465">
        <v>16.275110005972994</v>
      </c>
      <c r="E143" s="465">
        <v>15.614702904478012</v>
      </c>
      <c r="F143" s="465">
        <v>14.911674359737152</v>
      </c>
      <c r="G143" s="465">
        <v>13.033415757853545</v>
      </c>
      <c r="H143" s="465">
        <v>12.556067765830047</v>
      </c>
      <c r="I143" s="465">
        <v>11.285100906339711</v>
      </c>
      <c r="J143" s="465">
        <v>9.8268179419485548</v>
      </c>
      <c r="K143" s="564"/>
      <c r="L143" s="565"/>
      <c r="M143" s="31"/>
      <c r="N143" s="31"/>
      <c r="O143" s="31"/>
    </row>
    <row r="144" spans="2:15">
      <c r="B144" s="461" t="s">
        <v>112</v>
      </c>
      <c r="C144" s="467">
        <v>0.93219394583370063</v>
      </c>
      <c r="D144" s="465">
        <v>0.89969793099769957</v>
      </c>
      <c r="E144" s="465">
        <v>0.87783267686821997</v>
      </c>
      <c r="F144" s="465">
        <v>0.87232109317784756</v>
      </c>
      <c r="G144" s="465">
        <v>0.89875958568159287</v>
      </c>
      <c r="H144" s="465">
        <v>0.82801710222961222</v>
      </c>
      <c r="I144" s="465">
        <v>0.88417658562860901</v>
      </c>
      <c r="J144" s="465">
        <v>0.89982415652833247</v>
      </c>
      <c r="K144" s="564"/>
      <c r="L144" s="565"/>
      <c r="M144" s="31"/>
      <c r="N144" s="31"/>
      <c r="O144" s="31"/>
    </row>
    <row r="145" spans="1:15">
      <c r="B145" s="461" t="s">
        <v>60</v>
      </c>
      <c r="C145" s="467">
        <v>10.952751093909903</v>
      </c>
      <c r="D145" s="465">
        <v>1.3412683602121493</v>
      </c>
      <c r="E145" s="465">
        <v>22.190179414419269</v>
      </c>
      <c r="F145" s="465">
        <v>7.0488483253947072</v>
      </c>
      <c r="G145" s="465">
        <v>6.9020695692988534</v>
      </c>
      <c r="H145" s="465">
        <v>6.9425238085580094</v>
      </c>
      <c r="I145" s="465">
        <v>7.0785069781779111</v>
      </c>
      <c r="J145" s="465">
        <v>5.2688524500291916</v>
      </c>
      <c r="K145" s="564"/>
      <c r="L145" s="565"/>
      <c r="M145" s="31"/>
      <c r="N145" s="31"/>
      <c r="O145" s="31"/>
    </row>
    <row r="146" spans="1:15">
      <c r="B146" s="462" t="s">
        <v>61</v>
      </c>
      <c r="C146" s="468">
        <v>4.7850556060781999</v>
      </c>
      <c r="D146" s="469">
        <v>4.9736597194598335</v>
      </c>
      <c r="E146" s="469">
        <v>5.6988662496343032</v>
      </c>
      <c r="F146" s="469">
        <v>3.7921077312788807</v>
      </c>
      <c r="G146" s="469">
        <v>2.8512563802087829</v>
      </c>
      <c r="H146" s="469">
        <v>2.8799765245720623</v>
      </c>
      <c r="I146" s="469">
        <v>2.9074703511454074</v>
      </c>
      <c r="J146" s="469">
        <v>2.8191074376225309</v>
      </c>
      <c r="K146" s="566"/>
      <c r="L146" s="567"/>
      <c r="M146" s="31"/>
      <c r="N146" s="31"/>
      <c r="O146" s="31"/>
    </row>
    <row r="147" spans="1:15">
      <c r="B147" s="31"/>
      <c r="C147" s="31"/>
      <c r="D147" s="31"/>
      <c r="E147" s="31"/>
      <c r="F147" s="31"/>
      <c r="G147" s="31"/>
      <c r="H147" s="31"/>
      <c r="I147" s="31"/>
      <c r="J147" s="31"/>
      <c r="K147" s="31"/>
      <c r="L147" s="31"/>
      <c r="M147" s="31"/>
      <c r="N147" s="31"/>
      <c r="O147" s="31"/>
    </row>
    <row r="148" spans="1:15">
      <c r="B148" s="401"/>
      <c r="C148" s="367"/>
      <c r="D148" s="367"/>
      <c r="E148" s="367"/>
      <c r="F148" s="367"/>
      <c r="G148" s="367"/>
      <c r="H148" s="367"/>
      <c r="I148" s="367"/>
      <c r="J148" s="367"/>
      <c r="K148" s="31"/>
      <c r="L148" s="31"/>
      <c r="M148" s="31"/>
    </row>
    <row r="149" spans="1:15">
      <c r="B149" s="424" t="str">
        <f>LEFT('RFPR cover'!C6,2)</f>
        <v>ED</v>
      </c>
      <c r="C149" s="422"/>
      <c r="D149" s="422"/>
      <c r="E149" s="422"/>
      <c r="F149" s="422"/>
      <c r="G149" s="422"/>
      <c r="H149" s="422"/>
      <c r="I149" s="422"/>
      <c r="J149" s="422"/>
      <c r="K149" s="422"/>
      <c r="L149" s="423"/>
    </row>
    <row r="150" spans="1:15" ht="14.25" customHeight="1">
      <c r="A150" s="206"/>
      <c r="B150" s="458" t="s">
        <v>390</v>
      </c>
      <c r="C150" s="459"/>
      <c r="D150" s="459"/>
      <c r="E150" s="459"/>
      <c r="F150" s="457"/>
      <c r="G150" s="457"/>
      <c r="H150" s="457"/>
      <c r="I150" s="457"/>
      <c r="J150" s="457"/>
      <c r="K150" s="457"/>
      <c r="L150" s="457"/>
      <c r="M150" s="457"/>
      <c r="N150" s="457"/>
    </row>
    <row r="151" spans="1:15" s="31" customFormat="1" ht="14.25" customHeight="1">
      <c r="A151" s="796"/>
      <c r="B151" s="797"/>
      <c r="C151" s="798"/>
      <c r="D151" s="798"/>
      <c r="E151" s="798"/>
      <c r="F151" s="799"/>
      <c r="G151" s="799"/>
      <c r="H151" s="799"/>
      <c r="I151" s="799"/>
      <c r="J151" s="799"/>
      <c r="K151" s="799"/>
      <c r="L151" s="799"/>
      <c r="M151" s="799"/>
      <c r="N151" s="799"/>
    </row>
    <row r="152" spans="1:15">
      <c r="A152" s="204"/>
      <c r="B152" s="800" t="s">
        <v>396</v>
      </c>
      <c r="C152" s="207"/>
      <c r="D152" s="207"/>
      <c r="E152" s="801" t="b">
        <f>OR((LEFT('RFPR cover'!$C$6,2)=Data!F152),'RFPR cover'!$C$5=Data!F152)</f>
        <v>1</v>
      </c>
      <c r="F152" s="366" t="str">
        <f>B162</f>
        <v>ED</v>
      </c>
      <c r="G152" s="802"/>
    </row>
    <row r="153" spans="1:15">
      <c r="A153" s="204"/>
      <c r="B153" s="817" t="str">
        <f>CHOOSE(MATCH(TRUE,$E$152:$E$159,0),B163,B173,B183,E183,B193,E193,B203,E203)&amp;""</f>
        <v>Broad measure of customer service</v>
      </c>
      <c r="C153" s="207"/>
      <c r="D153" s="207"/>
      <c r="E153" s="803" t="b">
        <f>OR((LEFT('RFPR cover'!$C$6,2)=Data!F153),'RFPR cover'!$C$5=Data!F153)</f>
        <v>0</v>
      </c>
      <c r="F153" s="367" t="str">
        <f>B172</f>
        <v>GD</v>
      </c>
      <c r="G153" s="203"/>
    </row>
    <row r="154" spans="1:15" ht="25.5">
      <c r="A154" s="204"/>
      <c r="B154" s="818" t="str">
        <f t="shared" ref="B154:B160" si="22">CHOOSE(MATCH(TRUE,$E$152:$E$159,0),B164,B174,B184,E184,B194,E194,B204,E204)&amp;""</f>
        <v>Interruptions-related quality of service</v>
      </c>
      <c r="C154" s="207"/>
      <c r="D154" s="207"/>
      <c r="E154" s="803" t="b">
        <f>OR((LEFT('RFPR cover'!$C$6,2)=Data!F154),'RFPR cover'!$C$5=Data!F154)</f>
        <v>0</v>
      </c>
      <c r="F154" s="816" t="str">
        <f>B182</f>
        <v>NGGT (TO)</v>
      </c>
      <c r="G154" s="203"/>
    </row>
    <row r="155" spans="1:15">
      <c r="A155" s="204"/>
      <c r="B155" s="818" t="str">
        <f t="shared" si="22"/>
        <v>Incentive on connections engagement</v>
      </c>
      <c r="C155" s="207"/>
      <c r="D155" s="207"/>
      <c r="E155" s="803" t="b">
        <f>OR((LEFT('RFPR cover'!$C$6,2)=Data!F155),'RFPR cover'!$C$5=Data!F155)</f>
        <v>0</v>
      </c>
      <c r="F155" s="804" t="str">
        <f>E182</f>
        <v>NGGT (SO)</v>
      </c>
      <c r="G155" s="203"/>
    </row>
    <row r="156" spans="1:15">
      <c r="A156" s="204"/>
      <c r="B156" s="818" t="str">
        <f t="shared" si="22"/>
        <v>Time to Connect Incentive</v>
      </c>
      <c r="C156" s="207"/>
      <c r="D156" s="207"/>
      <c r="E156" s="803" t="b">
        <f>OR((LEFT('RFPR cover'!$C$6,2)=Data!F156),'RFPR cover'!$C$5=Data!F156)</f>
        <v>0</v>
      </c>
      <c r="F156" s="804" t="str">
        <f>B192</f>
        <v>NGET (TO)</v>
      </c>
      <c r="G156" s="203"/>
    </row>
    <row r="157" spans="1:15">
      <c r="A157" s="204"/>
      <c r="B157" s="819" t="str">
        <f t="shared" si="22"/>
        <v>Losses discretionary reward scheme</v>
      </c>
      <c r="C157" s="207"/>
      <c r="D157" s="207"/>
      <c r="E157" s="803" t="b">
        <f>OR((LEFT('RFPR cover'!$C$6,2)=Data!F157),'RFPR cover'!$C$5=Data!F157)</f>
        <v>0</v>
      </c>
      <c r="F157" s="804" t="str">
        <f>E192</f>
        <v>NGESO</v>
      </c>
      <c r="G157" s="203"/>
    </row>
    <row r="158" spans="1:15">
      <c r="A158" s="204"/>
      <c r="B158" s="819" t="str">
        <f t="shared" si="22"/>
        <v/>
      </c>
      <c r="C158" s="207"/>
      <c r="D158" s="207"/>
      <c r="E158" s="803" t="b">
        <f>OR((LEFT('RFPR cover'!$C$6,2)=Data!F158),'RFPR cover'!$C$5=Data!F158)</f>
        <v>0</v>
      </c>
      <c r="F158" s="804" t="str">
        <f>B202</f>
        <v>SPT</v>
      </c>
      <c r="G158" s="203"/>
    </row>
    <row r="159" spans="1:15">
      <c r="A159" s="204"/>
      <c r="B159" s="819" t="str">
        <f t="shared" si="22"/>
        <v/>
      </c>
      <c r="C159" s="207"/>
      <c r="D159" s="207"/>
      <c r="E159" s="805" t="b">
        <f>OR((LEFT('RFPR cover'!$C$6,2)=Data!F159),'RFPR cover'!$C$5=Data!F159)</f>
        <v>0</v>
      </c>
      <c r="F159" s="806" t="str">
        <f>E202</f>
        <v>SHET</v>
      </c>
      <c r="G159" s="298"/>
    </row>
    <row r="160" spans="1:15">
      <c r="A160" s="204"/>
      <c r="B160" s="207" t="str">
        <f t="shared" si="22"/>
        <v/>
      </c>
      <c r="C160" s="207"/>
      <c r="D160" s="207"/>
      <c r="E160" s="59"/>
      <c r="F160" s="804"/>
      <c r="G160" s="42"/>
    </row>
    <row r="161" spans="1:7">
      <c r="A161" s="204"/>
      <c r="B161" s="207"/>
      <c r="C161" s="207"/>
      <c r="D161" s="207"/>
      <c r="E161" s="59"/>
      <c r="F161" s="804"/>
      <c r="G161" s="42"/>
    </row>
    <row r="162" spans="1:7" ht="12" customHeight="1">
      <c r="A162" s="204"/>
      <c r="B162" s="962" t="s">
        <v>171</v>
      </c>
      <c r="C162" s="963"/>
      <c r="D162" s="207"/>
      <c r="E162" s="207"/>
    </row>
    <row r="163" spans="1:7">
      <c r="A163" s="204"/>
      <c r="B163" s="985" t="s">
        <v>391</v>
      </c>
      <c r="C163" s="986"/>
      <c r="D163" s="207"/>
      <c r="E163" s="207"/>
    </row>
    <row r="164" spans="1:7">
      <c r="A164" s="204"/>
      <c r="B164" s="985" t="s">
        <v>392</v>
      </c>
      <c r="C164" s="986"/>
      <c r="D164" s="207"/>
      <c r="E164" s="207"/>
    </row>
    <row r="165" spans="1:7">
      <c r="A165" s="204"/>
      <c r="B165" s="949" t="s">
        <v>393</v>
      </c>
      <c r="C165" s="950"/>
      <c r="D165" s="207"/>
      <c r="E165" s="207"/>
    </row>
    <row r="166" spans="1:7">
      <c r="A166" s="204"/>
      <c r="B166" s="949" t="s">
        <v>394</v>
      </c>
      <c r="C166" s="950"/>
      <c r="D166" s="207"/>
      <c r="E166" s="207"/>
    </row>
    <row r="167" spans="1:7">
      <c r="A167" s="204"/>
      <c r="B167" s="949" t="s">
        <v>395</v>
      </c>
      <c r="C167" s="950"/>
      <c r="D167" s="207"/>
      <c r="E167" s="207"/>
    </row>
    <row r="168" spans="1:7">
      <c r="A168" s="204"/>
      <c r="B168" s="949"/>
      <c r="C168" s="950"/>
      <c r="D168" s="207"/>
      <c r="E168" s="207"/>
    </row>
    <row r="169" spans="1:7">
      <c r="A169" s="204"/>
      <c r="B169" s="949"/>
      <c r="C169" s="950"/>
      <c r="D169" s="207"/>
      <c r="E169" s="207"/>
    </row>
    <row r="170" spans="1:7">
      <c r="A170" s="204"/>
      <c r="B170" s="207"/>
      <c r="C170" s="207"/>
      <c r="D170" s="207"/>
      <c r="E170" s="207"/>
    </row>
    <row r="171" spans="1:7">
      <c r="A171" s="204"/>
      <c r="B171" s="207"/>
      <c r="C171" s="207"/>
      <c r="D171" s="207"/>
      <c r="E171" s="207"/>
    </row>
    <row r="172" spans="1:7">
      <c r="A172" s="204"/>
      <c r="B172" s="962" t="s">
        <v>172</v>
      </c>
      <c r="C172" s="963"/>
      <c r="D172" s="207"/>
      <c r="E172" s="207"/>
    </row>
    <row r="173" spans="1:7" ht="12.75" customHeight="1">
      <c r="A173" s="204"/>
      <c r="B173" s="957" t="s">
        <v>222</v>
      </c>
      <c r="C173" s="958"/>
      <c r="D173" s="207"/>
      <c r="E173" s="207"/>
    </row>
    <row r="174" spans="1:7" ht="12.75" customHeight="1">
      <c r="A174" s="204"/>
      <c r="B174" s="954" t="s">
        <v>223</v>
      </c>
      <c r="C174" s="956"/>
      <c r="D174" s="207"/>
      <c r="E174" s="207"/>
    </row>
    <row r="175" spans="1:7" ht="12.75" customHeight="1">
      <c r="A175" s="204"/>
      <c r="B175" s="954" t="s">
        <v>224</v>
      </c>
      <c r="C175" s="956"/>
      <c r="D175" s="207"/>
      <c r="E175" s="207"/>
    </row>
    <row r="176" spans="1:7" ht="12.75" customHeight="1">
      <c r="A176" s="204"/>
      <c r="B176" s="954" t="s">
        <v>225</v>
      </c>
      <c r="C176" s="956"/>
      <c r="D176" s="207"/>
      <c r="E176" s="207"/>
    </row>
    <row r="177" spans="1:9" ht="12.75" customHeight="1">
      <c r="A177" s="204"/>
      <c r="B177" s="951" t="s">
        <v>306</v>
      </c>
      <c r="C177" s="953"/>
      <c r="D177" s="207"/>
      <c r="E177" s="207"/>
    </row>
    <row r="178" spans="1:9" ht="12.75" customHeight="1">
      <c r="A178" s="204"/>
      <c r="B178" s="951"/>
      <c r="C178" s="953"/>
      <c r="D178" s="207"/>
      <c r="E178" s="207"/>
    </row>
    <row r="179" spans="1:9" ht="12.75" customHeight="1">
      <c r="A179" s="204"/>
      <c r="B179" s="951"/>
      <c r="C179" s="953"/>
      <c r="D179" s="207"/>
      <c r="E179" s="207"/>
    </row>
    <row r="180" spans="1:9">
      <c r="A180" s="204"/>
      <c r="B180" s="207"/>
      <c r="C180" s="207"/>
      <c r="D180" s="207"/>
      <c r="E180" s="207"/>
    </row>
    <row r="181" spans="1:9">
      <c r="A181" s="204"/>
      <c r="B181" s="207"/>
      <c r="C181" s="207"/>
      <c r="D181" s="207"/>
      <c r="E181" s="207"/>
    </row>
    <row r="182" spans="1:9">
      <c r="A182" s="204"/>
      <c r="B182" s="959" t="str">
        <f>B95</f>
        <v>NGGT (TO)</v>
      </c>
      <c r="C182" s="960"/>
      <c r="D182" s="207"/>
      <c r="E182" s="959" t="str">
        <f>B96</f>
        <v>NGGT (SO)</v>
      </c>
      <c r="F182" s="984"/>
      <c r="G182" s="984"/>
      <c r="H182" s="984"/>
      <c r="I182" s="963"/>
    </row>
    <row r="183" spans="1:9" ht="12.4" customHeight="1">
      <c r="A183" s="204"/>
      <c r="B183" s="957" t="s">
        <v>218</v>
      </c>
      <c r="C183" s="958"/>
      <c r="D183" s="207"/>
      <c r="E183" s="954" t="s">
        <v>541</v>
      </c>
      <c r="F183" s="955" t="s">
        <v>541</v>
      </c>
      <c r="G183" s="955" t="s">
        <v>541</v>
      </c>
      <c r="H183" s="955" t="s">
        <v>541</v>
      </c>
      <c r="I183" s="956" t="s">
        <v>541</v>
      </c>
    </row>
    <row r="184" spans="1:9" ht="12.4" customHeight="1">
      <c r="A184" s="204"/>
      <c r="B184" s="954" t="s">
        <v>226</v>
      </c>
      <c r="C184" s="956"/>
      <c r="D184" s="207"/>
      <c r="E184" s="954" t="s">
        <v>542</v>
      </c>
      <c r="F184" s="955" t="s">
        <v>542</v>
      </c>
      <c r="G184" s="955" t="s">
        <v>542</v>
      </c>
      <c r="H184" s="955" t="s">
        <v>542</v>
      </c>
      <c r="I184" s="956" t="s">
        <v>542</v>
      </c>
    </row>
    <row r="185" spans="1:9" ht="12.4" customHeight="1">
      <c r="A185" s="204"/>
      <c r="B185" s="954"/>
      <c r="C185" s="956"/>
      <c r="D185" s="207"/>
      <c r="E185" s="954" t="s">
        <v>543</v>
      </c>
      <c r="F185" s="955" t="s">
        <v>543</v>
      </c>
      <c r="G185" s="955" t="s">
        <v>543</v>
      </c>
      <c r="H185" s="955" t="s">
        <v>543</v>
      </c>
      <c r="I185" s="956" t="s">
        <v>543</v>
      </c>
    </row>
    <row r="186" spans="1:9" ht="12.4" customHeight="1">
      <c r="A186" s="204"/>
      <c r="B186" s="954"/>
      <c r="C186" s="956"/>
      <c r="D186" s="207"/>
      <c r="E186" s="954" t="s">
        <v>544</v>
      </c>
      <c r="F186" s="955" t="s">
        <v>544</v>
      </c>
      <c r="G186" s="955" t="s">
        <v>544</v>
      </c>
      <c r="H186" s="955" t="s">
        <v>544</v>
      </c>
      <c r="I186" s="956" t="s">
        <v>544</v>
      </c>
    </row>
    <row r="187" spans="1:9" ht="12.4" customHeight="1">
      <c r="A187" s="204"/>
      <c r="B187" s="951"/>
      <c r="C187" s="953"/>
      <c r="D187" s="207"/>
      <c r="E187" s="954" t="s">
        <v>545</v>
      </c>
      <c r="F187" s="955" t="s">
        <v>545</v>
      </c>
      <c r="G187" s="955" t="s">
        <v>545</v>
      </c>
      <c r="H187" s="955" t="s">
        <v>545</v>
      </c>
      <c r="I187" s="956" t="s">
        <v>545</v>
      </c>
    </row>
    <row r="188" spans="1:9" ht="12.4" customHeight="1">
      <c r="A188" s="204"/>
      <c r="B188" s="951"/>
      <c r="C188" s="953"/>
      <c r="D188" s="207"/>
      <c r="E188" s="954" t="s">
        <v>546</v>
      </c>
      <c r="F188" s="955" t="s">
        <v>546</v>
      </c>
      <c r="G188" s="955" t="s">
        <v>546</v>
      </c>
      <c r="H188" s="955" t="s">
        <v>546</v>
      </c>
      <c r="I188" s="956" t="s">
        <v>546</v>
      </c>
    </row>
    <row r="189" spans="1:9" ht="12.4" customHeight="1">
      <c r="A189" s="204"/>
      <c r="B189" s="951"/>
      <c r="C189" s="953"/>
      <c r="D189" s="207"/>
      <c r="E189" s="954" t="s">
        <v>547</v>
      </c>
      <c r="F189" s="955" t="s">
        <v>547</v>
      </c>
      <c r="G189" s="955" t="s">
        <v>547</v>
      </c>
      <c r="H189" s="955" t="s">
        <v>547</v>
      </c>
      <c r="I189" s="956" t="s">
        <v>547</v>
      </c>
    </row>
    <row r="190" spans="1:9">
      <c r="A190" s="204"/>
      <c r="B190" s="207"/>
      <c r="C190" s="207"/>
      <c r="D190" s="207"/>
      <c r="E190" s="207"/>
    </row>
    <row r="191" spans="1:9">
      <c r="A191" s="204"/>
      <c r="B191" s="207"/>
      <c r="C191" s="207"/>
      <c r="D191" s="207"/>
      <c r="E191" s="207"/>
    </row>
    <row r="192" spans="1:9">
      <c r="A192" s="204"/>
      <c r="B192" s="959" t="str">
        <f>B97</f>
        <v>NGET (TO)</v>
      </c>
      <c r="C192" s="960"/>
      <c r="D192" s="207"/>
      <c r="E192" s="959" t="str">
        <f>B98</f>
        <v>NGESO</v>
      </c>
      <c r="F192" s="984"/>
      <c r="G192" s="984"/>
      <c r="H192" s="984"/>
      <c r="I192" s="963"/>
    </row>
    <row r="193" spans="1:9" ht="12.75" customHeight="1">
      <c r="A193" s="204"/>
      <c r="B193" s="957" t="s">
        <v>217</v>
      </c>
      <c r="C193" s="958"/>
      <c r="D193" s="207"/>
      <c r="E193" s="954" t="s">
        <v>548</v>
      </c>
      <c r="F193" s="955" t="s">
        <v>548</v>
      </c>
      <c r="G193" s="955" t="s">
        <v>548</v>
      </c>
      <c r="H193" s="955" t="s">
        <v>548</v>
      </c>
      <c r="I193" s="956" t="s">
        <v>548</v>
      </c>
    </row>
    <row r="194" spans="1:9" ht="12.75" customHeight="1">
      <c r="A194" s="204"/>
      <c r="B194" s="954" t="s">
        <v>218</v>
      </c>
      <c r="C194" s="956"/>
      <c r="D194" s="207"/>
      <c r="E194" s="954" t="s">
        <v>549</v>
      </c>
      <c r="F194" s="955" t="s">
        <v>549</v>
      </c>
      <c r="G194" s="955" t="s">
        <v>549</v>
      </c>
      <c r="H194" s="955" t="s">
        <v>549</v>
      </c>
      <c r="I194" s="956" t="s">
        <v>549</v>
      </c>
    </row>
    <row r="195" spans="1:9" ht="12.75" customHeight="1">
      <c r="A195" s="204"/>
      <c r="B195" s="954" t="s">
        <v>219</v>
      </c>
      <c r="C195" s="956"/>
      <c r="D195" s="207"/>
      <c r="E195" s="954" t="s">
        <v>550</v>
      </c>
      <c r="F195" s="955" t="s">
        <v>550</v>
      </c>
      <c r="G195" s="955" t="s">
        <v>550</v>
      </c>
      <c r="H195" s="955" t="s">
        <v>550</v>
      </c>
      <c r="I195" s="956" t="s">
        <v>550</v>
      </c>
    </row>
    <row r="196" spans="1:9" ht="12.75" customHeight="1">
      <c r="A196" s="204"/>
      <c r="B196" s="954" t="s">
        <v>220</v>
      </c>
      <c r="C196" s="956"/>
      <c r="D196" s="207"/>
      <c r="E196" s="954" t="s">
        <v>564</v>
      </c>
      <c r="F196" s="955"/>
      <c r="G196" s="955"/>
      <c r="H196" s="955"/>
      <c r="I196" s="956"/>
    </row>
    <row r="197" spans="1:9" ht="12.75" customHeight="1">
      <c r="A197" s="204"/>
      <c r="B197" s="951"/>
      <c r="C197" s="953"/>
      <c r="D197" s="207"/>
      <c r="E197" s="951"/>
      <c r="F197" s="952"/>
      <c r="G197" s="952"/>
      <c r="H197" s="952"/>
      <c r="I197" s="953"/>
    </row>
    <row r="198" spans="1:9" ht="12.75" customHeight="1">
      <c r="A198" s="204"/>
      <c r="B198" s="951"/>
      <c r="C198" s="953"/>
      <c r="D198" s="207"/>
      <c r="E198" s="951"/>
      <c r="F198" s="952"/>
      <c r="G198" s="952"/>
      <c r="H198" s="952"/>
      <c r="I198" s="953"/>
    </row>
    <row r="199" spans="1:9" ht="12.75" customHeight="1">
      <c r="A199" s="204"/>
      <c r="B199" s="951"/>
      <c r="C199" s="953"/>
      <c r="D199" s="207"/>
      <c r="E199" s="951"/>
      <c r="F199" s="952"/>
      <c r="G199" s="952"/>
      <c r="H199" s="952"/>
      <c r="I199" s="953"/>
    </row>
    <row r="200" spans="1:9" s="31" customFormat="1" ht="12.75" customHeight="1">
      <c r="A200" s="793"/>
      <c r="B200" s="793"/>
      <c r="C200" s="793"/>
      <c r="D200" s="794"/>
      <c r="E200" s="795"/>
      <c r="F200" s="795"/>
      <c r="G200" s="795"/>
      <c r="H200" s="795"/>
      <c r="I200" s="795"/>
    </row>
    <row r="201" spans="1:9" s="31" customFormat="1" ht="12.75" customHeight="1">
      <c r="A201" s="793"/>
      <c r="B201" s="793"/>
      <c r="C201" s="793"/>
      <c r="D201" s="794"/>
      <c r="E201" s="795"/>
      <c r="F201" s="795"/>
      <c r="G201" s="795"/>
      <c r="H201" s="795"/>
      <c r="I201" s="795"/>
    </row>
    <row r="202" spans="1:9">
      <c r="A202" s="204"/>
      <c r="B202" s="959" t="str">
        <f>B145</f>
        <v>SPT</v>
      </c>
      <c r="C202" s="960"/>
      <c r="D202" s="207"/>
      <c r="E202" s="959" t="str">
        <f>B100</f>
        <v>SHET</v>
      </c>
      <c r="F202" s="984"/>
      <c r="G202" s="984"/>
      <c r="H202" s="984"/>
      <c r="I202" s="963"/>
    </row>
    <row r="203" spans="1:9" ht="12.75" customHeight="1">
      <c r="A203" s="204"/>
      <c r="B203" s="957" t="s">
        <v>217</v>
      </c>
      <c r="C203" s="958"/>
      <c r="D203" s="207"/>
      <c r="E203" s="957" t="s">
        <v>217</v>
      </c>
      <c r="F203" s="987"/>
      <c r="G203" s="987"/>
      <c r="H203" s="987"/>
      <c r="I203" s="958"/>
    </row>
    <row r="204" spans="1:9" ht="12.75" customHeight="1">
      <c r="A204" s="204"/>
      <c r="B204" s="954" t="s">
        <v>218</v>
      </c>
      <c r="C204" s="956"/>
      <c r="D204" s="207"/>
      <c r="E204" s="954" t="s">
        <v>218</v>
      </c>
      <c r="F204" s="955"/>
      <c r="G204" s="955"/>
      <c r="H204" s="955"/>
      <c r="I204" s="956"/>
    </row>
    <row r="205" spans="1:9" ht="12.75" customHeight="1">
      <c r="A205" s="204"/>
      <c r="B205" s="954" t="s">
        <v>219</v>
      </c>
      <c r="C205" s="956"/>
      <c r="D205" s="207"/>
      <c r="E205" s="954" t="s">
        <v>219</v>
      </c>
      <c r="F205" s="955"/>
      <c r="G205" s="955"/>
      <c r="H205" s="955"/>
      <c r="I205" s="956"/>
    </row>
    <row r="206" spans="1:9" ht="12.75" customHeight="1">
      <c r="A206" s="204"/>
      <c r="B206" s="954" t="s">
        <v>220</v>
      </c>
      <c r="C206" s="956"/>
      <c r="D206" s="207"/>
      <c r="E206" s="954" t="s">
        <v>220</v>
      </c>
      <c r="F206" s="955"/>
      <c r="G206" s="955"/>
      <c r="H206" s="955"/>
      <c r="I206" s="956"/>
    </row>
    <row r="207" spans="1:9" ht="12.75" customHeight="1">
      <c r="A207" s="204"/>
      <c r="B207" s="951" t="s">
        <v>221</v>
      </c>
      <c r="C207" s="953"/>
      <c r="D207" s="207"/>
      <c r="E207" s="951" t="s">
        <v>221</v>
      </c>
      <c r="F207" s="952"/>
      <c r="G207" s="952"/>
      <c r="H207" s="952"/>
      <c r="I207" s="953"/>
    </row>
    <row r="208" spans="1:9" ht="12.75" customHeight="1">
      <c r="A208" s="204"/>
      <c r="B208" s="951"/>
      <c r="C208" s="953"/>
      <c r="D208" s="207"/>
      <c r="E208" s="951"/>
      <c r="F208" s="952"/>
      <c r="G208" s="952"/>
      <c r="H208" s="952"/>
      <c r="I208" s="953"/>
    </row>
    <row r="209" spans="1:14" ht="12.75" customHeight="1">
      <c r="A209" s="204"/>
      <c r="B209" s="951"/>
      <c r="C209" s="953"/>
      <c r="D209" s="207"/>
      <c r="E209" s="951"/>
      <c r="F209" s="952"/>
      <c r="G209" s="952"/>
      <c r="H209" s="952"/>
      <c r="I209" s="953"/>
    </row>
    <row r="210" spans="1:14">
      <c r="A210" s="204"/>
      <c r="D210" s="207"/>
      <c r="E210" s="207"/>
    </row>
    <row r="211" spans="1:14">
      <c r="A211" s="204"/>
      <c r="D211" s="207"/>
      <c r="E211" s="207"/>
    </row>
    <row r="212" spans="1:14" ht="12.75" customHeight="1">
      <c r="A212" s="204"/>
      <c r="B212" s="961" t="s">
        <v>239</v>
      </c>
      <c r="C212" s="961"/>
      <c r="D212" s="961"/>
      <c r="E212" s="286"/>
      <c r="F212" s="218"/>
      <c r="G212" s="218"/>
      <c r="H212" s="218"/>
      <c r="I212" s="218"/>
      <c r="J212" s="218"/>
      <c r="K212" s="218"/>
      <c r="L212" s="218"/>
      <c r="M212" s="218"/>
      <c r="N212" s="218"/>
    </row>
    <row r="213" spans="1:14">
      <c r="A213" s="204"/>
      <c r="B213" s="207"/>
      <c r="C213" s="207"/>
      <c r="D213" s="207"/>
      <c r="E213" s="207"/>
    </row>
    <row r="214" spans="1:14" ht="25.5">
      <c r="A214" s="204"/>
      <c r="B214" s="209" t="s">
        <v>129</v>
      </c>
      <c r="C214" s="208" t="s">
        <v>207</v>
      </c>
      <c r="D214" s="207"/>
      <c r="E214" s="207"/>
    </row>
    <row r="215" spans="1:14" ht="25.5">
      <c r="A215" s="204"/>
      <c r="B215" s="210" t="s">
        <v>130</v>
      </c>
      <c r="C215" s="291" t="s">
        <v>208</v>
      </c>
      <c r="D215" s="207"/>
      <c r="E215" s="207"/>
    </row>
    <row r="216" spans="1:14">
      <c r="B216" s="306"/>
      <c r="C216" s="42"/>
      <c r="D216" s="42"/>
      <c r="E216" s="42"/>
      <c r="F216" s="42"/>
      <c r="G216" s="42"/>
      <c r="H216" s="42"/>
      <c r="I216" s="42"/>
      <c r="J216" s="42"/>
    </row>
    <row r="217" spans="1:14">
      <c r="B217" s="205"/>
      <c r="I217" s="67"/>
    </row>
    <row r="218" spans="1:14">
      <c r="B218" s="809" t="s">
        <v>398</v>
      </c>
      <c r="I218" s="67"/>
    </row>
    <row r="219" spans="1:14">
      <c r="B219" s="811" t="s">
        <v>288</v>
      </c>
    </row>
    <row r="220" spans="1:14">
      <c r="B220" s="812" t="s">
        <v>287</v>
      </c>
    </row>
    <row r="221" spans="1:14">
      <c r="B221" s="815" t="s">
        <v>285</v>
      </c>
    </row>
    <row r="222" spans="1:14">
      <c r="B222" s="813"/>
    </row>
    <row r="223" spans="1:14">
      <c r="B223" s="214"/>
    </row>
    <row r="224" spans="1:14">
      <c r="B224" s="810" t="s">
        <v>283</v>
      </c>
    </row>
    <row r="225" spans="2:2">
      <c r="B225" s="814" t="s">
        <v>399</v>
      </c>
    </row>
    <row r="226" spans="2:2">
      <c r="B226" s="812" t="s">
        <v>400</v>
      </c>
    </row>
    <row r="227" spans="2:2">
      <c r="B227" s="812" t="s">
        <v>294</v>
      </c>
    </row>
    <row r="228" spans="2:2">
      <c r="B228" s="812" t="s">
        <v>401</v>
      </c>
    </row>
    <row r="229" spans="2:2">
      <c r="B229" s="812" t="s">
        <v>402</v>
      </c>
    </row>
    <row r="230" spans="2:2">
      <c r="B230" s="812" t="s">
        <v>286</v>
      </c>
    </row>
    <row r="231" spans="2:2">
      <c r="B231" s="812" t="s">
        <v>403</v>
      </c>
    </row>
    <row r="232" spans="2:2">
      <c r="B232" s="812"/>
    </row>
    <row r="233" spans="2:2">
      <c r="B233" s="813"/>
    </row>
    <row r="234" spans="2:2">
      <c r="B234" s="214"/>
    </row>
    <row r="235" spans="2:2">
      <c r="B235" s="810" t="s">
        <v>293</v>
      </c>
    </row>
    <row r="236" spans="2:2">
      <c r="B236" s="814" t="s">
        <v>404</v>
      </c>
    </row>
    <row r="237" spans="2:2">
      <c r="B237" s="812" t="s">
        <v>405</v>
      </c>
    </row>
    <row r="238" spans="2:2">
      <c r="B238" s="812" t="s">
        <v>406</v>
      </c>
    </row>
    <row r="239" spans="2:2">
      <c r="B239" s="812" t="s">
        <v>407</v>
      </c>
    </row>
    <row r="240" spans="2:2">
      <c r="B240" s="812" t="s">
        <v>408</v>
      </c>
    </row>
    <row r="241" spans="2:2">
      <c r="B241" s="813"/>
    </row>
    <row r="242" spans="2:2">
      <c r="B242" s="214"/>
    </row>
    <row r="243" spans="2:2">
      <c r="B243" s="810" t="s">
        <v>409</v>
      </c>
    </row>
    <row r="244" spans="2:2">
      <c r="B244" s="814" t="s">
        <v>410</v>
      </c>
    </row>
    <row r="245" spans="2:2">
      <c r="B245" s="812" t="s">
        <v>411</v>
      </c>
    </row>
    <row r="246" spans="2:2">
      <c r="B246" s="813"/>
    </row>
    <row r="247" spans="2:2">
      <c r="B247" s="214"/>
    </row>
    <row r="248" spans="2:2">
      <c r="B248" s="810" t="s">
        <v>412</v>
      </c>
    </row>
    <row r="249" spans="2:2">
      <c r="B249" s="814" t="s">
        <v>453</v>
      </c>
    </row>
    <row r="250" spans="2:2">
      <c r="B250" s="812" t="s">
        <v>452</v>
      </c>
    </row>
    <row r="251" spans="2:2">
      <c r="B251" s="813" t="s">
        <v>268</v>
      </c>
    </row>
    <row r="252" spans="2:2">
      <c r="B252" s="214"/>
    </row>
    <row r="253" spans="2:2">
      <c r="B253" s="810" t="s">
        <v>284</v>
      </c>
    </row>
    <row r="254" spans="2:2">
      <c r="B254" s="814" t="s">
        <v>413</v>
      </c>
    </row>
    <row r="255" spans="2:2">
      <c r="B255" s="812" t="s">
        <v>457</v>
      </c>
    </row>
    <row r="256" spans="2:2">
      <c r="B256" s="812"/>
    </row>
    <row r="257" spans="2:2">
      <c r="B257" s="813"/>
    </row>
    <row r="258" spans="2:2">
      <c r="B258" s="214"/>
    </row>
    <row r="259" spans="2:2">
      <c r="B259" s="810" t="s">
        <v>289</v>
      </c>
    </row>
    <row r="260" spans="2:2">
      <c r="B260" s="814" t="s">
        <v>290</v>
      </c>
    </row>
    <row r="261" spans="2:2">
      <c r="B261" s="812" t="s">
        <v>295</v>
      </c>
    </row>
    <row r="262" spans="2:2">
      <c r="B262" s="812"/>
    </row>
    <row r="263" spans="2:2">
      <c r="B263" s="813"/>
    </row>
    <row r="264" spans="2:2">
      <c r="B264" s="214"/>
    </row>
    <row r="265" spans="2:2">
      <c r="B265" s="810" t="s">
        <v>414</v>
      </c>
    </row>
    <row r="266" spans="2:2">
      <c r="B266" s="814" t="s">
        <v>288</v>
      </c>
    </row>
    <row r="267" spans="2:2">
      <c r="B267" s="812" t="s">
        <v>287</v>
      </c>
    </row>
    <row r="268" spans="2:2">
      <c r="B268" s="813"/>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72" priority="20">
      <formula>AND(#REF!="Actuals",#REF!="Forecast")</formula>
    </cfRule>
  </conditionalFormatting>
  <conditionalFormatting sqref="C47">
    <cfRule type="expression" dxfId="71" priority="18">
      <formula>AND(#REF!="Actuals",#REF!="Forecast")</formula>
    </cfRule>
  </conditionalFormatting>
  <conditionalFormatting sqref="C50:J50">
    <cfRule type="expression" dxfId="70" priority="17">
      <formula>AND(#REF!="Actuals",#REF!="Forecast")</formula>
    </cfRule>
  </conditionalFormatting>
  <conditionalFormatting sqref="B14:D30">
    <cfRule type="cellIs" dxfId="69" priority="14" operator="equal">
      <formula>"Forecast"</formula>
    </cfRule>
  </conditionalFormatting>
  <conditionalFormatting sqref="B23:C30">
    <cfRule type="expression" dxfId="68" priority="111">
      <formula>$D13="Forecast"</formula>
    </cfRule>
  </conditionalFormatting>
  <conditionalFormatting sqref="K71">
    <cfRule type="expression" dxfId="67" priority="5">
      <formula>AND(#REF!="Actuals",#REF!="Forecast")</formula>
    </cfRule>
  </conditionalFormatting>
  <conditionalFormatting sqref="K72:T72">
    <cfRule type="expression" dxfId="66" priority="4">
      <formula>AND(#REF!="Actuals",#REF!="Forecast")</formula>
    </cfRule>
  </conditionalFormatting>
  <conditionalFormatting sqref="C62:L62">
    <cfRule type="expression" dxfId="65" priority="3">
      <formula>AND(#REF!="Actuals",#REF!="Forecast")</formula>
    </cfRule>
  </conditionalFormatting>
  <conditionalFormatting sqref="C118:L118">
    <cfRule type="expression" dxfId="64" priority="1">
      <formula>AND(#REF!="Actuals",#REF!="Forecast")</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7" activePane="bottomLeft" state="frozen"/>
      <selection activeCell="B75" sqref="A1:XFD1048576"/>
      <selection pane="bottomLeft" activeCell="C12" sqref="C12"/>
    </sheetView>
  </sheetViews>
  <sheetFormatPr defaultRowHeight="12.75"/>
  <cols>
    <col min="1" max="1" width="8.375" customWidth="1"/>
    <col min="2" max="2" width="23.75" customWidth="1"/>
    <col min="3" max="3" width="25.75" customWidth="1"/>
    <col min="4" max="4" width="9.75" customWidth="1"/>
  </cols>
  <sheetData>
    <row r="1" spans="1:14" s="31" customFormat="1" ht="20.25">
      <c r="A1" s="906" t="s">
        <v>83</v>
      </c>
      <c r="B1" s="906"/>
      <c r="C1" s="906"/>
      <c r="D1" s="906"/>
      <c r="E1" s="906"/>
      <c r="F1" s="906"/>
      <c r="G1" s="906"/>
      <c r="H1" s="906"/>
      <c r="I1" s="32" t="s">
        <v>84</v>
      </c>
      <c r="J1" s="33"/>
      <c r="K1" s="33"/>
      <c r="L1" s="33"/>
      <c r="M1" s="33"/>
    </row>
    <row r="2" spans="1:14" s="31" customFormat="1" ht="20.25">
      <c r="A2" s="906" t="str">
        <f>'RFPR cover'!C5</f>
        <v>ENWL</v>
      </c>
      <c r="B2" s="906"/>
      <c r="C2" s="906"/>
      <c r="D2" s="906"/>
      <c r="E2" s="906"/>
      <c r="F2" s="906"/>
      <c r="G2" s="906"/>
      <c r="H2" s="906"/>
      <c r="I2" s="33"/>
      <c r="J2" s="33"/>
      <c r="K2" s="33"/>
      <c r="L2" s="33"/>
      <c r="M2" s="33"/>
      <c r="N2" s="367"/>
    </row>
    <row r="3" spans="1:14" s="31" customFormat="1" ht="20.25">
      <c r="A3" s="906">
        <f>'RFPR cover'!C7</f>
        <v>2023</v>
      </c>
      <c r="B3" s="906"/>
      <c r="C3" s="906"/>
      <c r="D3" s="906"/>
      <c r="E3" s="906"/>
      <c r="F3" s="906"/>
      <c r="G3" s="906"/>
      <c r="H3" s="906"/>
      <c r="I3" s="33"/>
      <c r="J3" s="33"/>
      <c r="K3" s="33"/>
      <c r="L3" s="33"/>
      <c r="M3" s="33"/>
      <c r="N3" s="367"/>
    </row>
    <row r="4" spans="1:14">
      <c r="A4" s="24"/>
      <c r="B4" s="24"/>
      <c r="C4" s="24"/>
      <c r="D4" s="24"/>
      <c r="E4" s="24"/>
      <c r="F4" s="24"/>
      <c r="G4" s="24"/>
      <c r="H4" s="24"/>
      <c r="I4" s="549"/>
      <c r="J4" s="549"/>
      <c r="K4" s="549"/>
      <c r="L4" s="549"/>
      <c r="M4" s="549"/>
      <c r="N4" s="42"/>
    </row>
    <row r="5" spans="1:14">
      <c r="A5" s="24"/>
      <c r="B5" s="24"/>
      <c r="C5" s="24"/>
      <c r="D5" s="24"/>
      <c r="E5" s="24"/>
      <c r="F5" s="24"/>
      <c r="G5" s="24"/>
      <c r="H5" s="24"/>
      <c r="I5" s="549"/>
      <c r="J5" s="549"/>
      <c r="K5" s="549"/>
      <c r="L5" s="549"/>
      <c r="M5" s="549"/>
      <c r="N5" s="42"/>
    </row>
    <row r="6" spans="1:14">
      <c r="A6" s="24"/>
      <c r="B6" s="25" t="s">
        <v>85</v>
      </c>
      <c r="C6" s="24"/>
      <c r="D6" s="24"/>
      <c r="E6" s="24"/>
      <c r="F6" s="24"/>
      <c r="G6" s="24"/>
      <c r="H6" s="24"/>
      <c r="I6" s="549"/>
      <c r="J6" s="549"/>
      <c r="K6" s="549"/>
      <c r="L6" s="549"/>
      <c r="M6" s="549"/>
      <c r="N6" s="42"/>
    </row>
    <row r="7" spans="1:14">
      <c r="A7" s="24"/>
      <c r="B7" s="24"/>
      <c r="C7" s="24"/>
      <c r="D7" s="24"/>
      <c r="E7" s="24"/>
      <c r="F7" s="24"/>
      <c r="G7" s="24"/>
      <c r="H7" s="24"/>
      <c r="I7" s="549"/>
      <c r="J7" s="549"/>
      <c r="K7" s="549"/>
      <c r="L7" s="549"/>
      <c r="M7" s="549"/>
      <c r="N7" s="42"/>
    </row>
    <row r="8" spans="1:14">
      <c r="A8" s="24"/>
      <c r="B8" s="47" t="s">
        <v>86</v>
      </c>
      <c r="C8" s="47" t="s">
        <v>87</v>
      </c>
      <c r="D8" s="990" t="s">
        <v>88</v>
      </c>
      <c r="E8" s="991"/>
      <c r="F8" s="991"/>
      <c r="G8" s="991"/>
      <c r="H8" s="991"/>
      <c r="I8" s="549"/>
      <c r="J8" s="549"/>
      <c r="K8" s="549"/>
      <c r="L8" s="549"/>
      <c r="M8" s="549"/>
      <c r="N8" s="42"/>
    </row>
    <row r="9" spans="1:14">
      <c r="A9" s="24"/>
      <c r="B9" s="26" t="s">
        <v>89</v>
      </c>
      <c r="C9" s="46">
        <v>45135</v>
      </c>
      <c r="D9" s="988"/>
      <c r="E9" s="989"/>
      <c r="F9" s="989"/>
      <c r="G9" s="989"/>
      <c r="H9" s="989"/>
      <c r="I9" s="24"/>
      <c r="J9" s="24"/>
      <c r="K9" s="24"/>
      <c r="L9" s="24"/>
      <c r="M9" s="24"/>
    </row>
    <row r="10" spans="1:14">
      <c r="A10" s="24"/>
      <c r="B10" s="26" t="s">
        <v>90</v>
      </c>
      <c r="C10" s="46"/>
      <c r="D10" s="988"/>
      <c r="E10" s="989"/>
      <c r="F10" s="989"/>
      <c r="G10" s="989"/>
      <c r="H10" s="989"/>
      <c r="I10" s="24"/>
      <c r="J10" s="24"/>
      <c r="K10" s="24"/>
      <c r="L10" s="24"/>
      <c r="M10" s="24"/>
    </row>
    <row r="11" spans="1:14">
      <c r="A11" s="24"/>
      <c r="B11" s="26" t="s">
        <v>91</v>
      </c>
      <c r="C11" s="46"/>
      <c r="D11" s="988"/>
      <c r="E11" s="989"/>
      <c r="F11" s="989"/>
      <c r="G11" s="989"/>
      <c r="H11" s="989"/>
      <c r="I11" s="24"/>
      <c r="J11" s="24"/>
      <c r="K11" s="24"/>
      <c r="L11" s="24"/>
      <c r="M11" s="24"/>
    </row>
    <row r="12" spans="1:14">
      <c r="A12" s="24"/>
      <c r="B12" s="26" t="s">
        <v>92</v>
      </c>
      <c r="C12" s="46"/>
      <c r="D12" s="988"/>
      <c r="E12" s="989"/>
      <c r="F12" s="989"/>
      <c r="G12" s="989"/>
      <c r="H12" s="989"/>
      <c r="I12" s="24"/>
      <c r="J12" s="24"/>
      <c r="K12" s="24"/>
      <c r="L12" s="24"/>
      <c r="M12" s="24"/>
    </row>
    <row r="13" spans="1:14">
      <c r="A13" s="24"/>
      <c r="B13" s="26" t="s">
        <v>93</v>
      </c>
      <c r="C13" s="46"/>
      <c r="D13" s="988"/>
      <c r="E13" s="989"/>
      <c r="F13" s="989"/>
      <c r="G13" s="989"/>
      <c r="H13" s="989"/>
      <c r="I13" s="24"/>
      <c r="J13" s="24"/>
      <c r="K13" s="24"/>
      <c r="L13" s="24"/>
      <c r="M13" s="24"/>
    </row>
    <row r="14" spans="1:14">
      <c r="A14" s="24"/>
      <c r="B14" s="26" t="s">
        <v>94</v>
      </c>
      <c r="C14" s="46"/>
      <c r="D14" s="988"/>
      <c r="E14" s="989"/>
      <c r="F14" s="989"/>
      <c r="G14" s="989"/>
      <c r="H14" s="989"/>
      <c r="I14" s="24"/>
      <c r="J14" s="24"/>
      <c r="K14" s="24"/>
      <c r="L14" s="24"/>
      <c r="M14" s="24"/>
    </row>
    <row r="15" spans="1:14">
      <c r="A15" s="24"/>
      <c r="B15" s="26" t="s">
        <v>95</v>
      </c>
      <c r="C15" s="46"/>
      <c r="D15" s="988"/>
      <c r="E15" s="989"/>
      <c r="F15" s="989"/>
      <c r="G15" s="989"/>
      <c r="H15" s="989"/>
      <c r="I15" s="24"/>
      <c r="J15" s="24"/>
      <c r="K15" s="24"/>
      <c r="L15" s="24"/>
      <c r="M15" s="24"/>
    </row>
    <row r="16" spans="1:14">
      <c r="A16" s="24"/>
      <c r="B16" s="26" t="s">
        <v>96</v>
      </c>
      <c r="C16" s="46"/>
      <c r="D16" s="988"/>
      <c r="E16" s="989"/>
      <c r="F16" s="989"/>
      <c r="G16" s="989"/>
      <c r="H16" s="989"/>
      <c r="I16" s="24"/>
      <c r="J16" s="24"/>
      <c r="K16" s="24"/>
      <c r="L16" s="24"/>
      <c r="M16" s="24"/>
    </row>
    <row r="17" spans="1:13">
      <c r="A17" s="24"/>
      <c r="B17" s="26" t="s">
        <v>97</v>
      </c>
      <c r="C17" s="46"/>
      <c r="D17" s="988"/>
      <c r="E17" s="989"/>
      <c r="F17" s="989"/>
      <c r="G17" s="989"/>
      <c r="H17" s="989"/>
      <c r="I17" s="24"/>
      <c r="J17" s="24"/>
      <c r="K17" s="24"/>
      <c r="L17" s="24"/>
      <c r="M17" s="24"/>
    </row>
    <row r="18" spans="1:13">
      <c r="A18" s="24"/>
      <c r="B18" s="26" t="s">
        <v>98</v>
      </c>
      <c r="C18" s="46"/>
      <c r="D18" s="988"/>
      <c r="E18" s="989"/>
      <c r="F18" s="989"/>
      <c r="G18" s="989"/>
      <c r="H18" s="989"/>
      <c r="I18" s="24"/>
      <c r="J18" s="24"/>
      <c r="K18" s="24"/>
      <c r="L18" s="24"/>
      <c r="M18" s="24"/>
    </row>
    <row r="19" spans="1:13">
      <c r="A19" s="24"/>
      <c r="B19" s="24"/>
      <c r="C19" s="24"/>
      <c r="D19" s="24"/>
      <c r="E19" s="24"/>
      <c r="F19" s="24"/>
      <c r="G19" s="24"/>
      <c r="H19" s="24"/>
      <c r="I19" s="24"/>
      <c r="J19" s="24"/>
      <c r="K19" s="24"/>
      <c r="L19" s="24"/>
      <c r="M19" s="24"/>
    </row>
    <row r="20" spans="1:13">
      <c r="A20" s="24"/>
      <c r="B20" s="214"/>
      <c r="C20" s="24"/>
      <c r="D20" s="24"/>
      <c r="E20" s="24"/>
      <c r="F20" s="24"/>
      <c r="G20" s="24"/>
      <c r="H20" s="24"/>
      <c r="I20" s="24"/>
      <c r="J20" s="24"/>
      <c r="K20" s="24"/>
      <c r="L20" s="24"/>
    </row>
    <row r="21" spans="1:13">
      <c r="A21" s="24"/>
      <c r="B21" s="287" t="s">
        <v>261</v>
      </c>
      <c r="C21" s="24"/>
      <c r="D21" s="24"/>
      <c r="E21" s="24"/>
      <c r="F21" s="24"/>
      <c r="G21" s="24"/>
      <c r="H21" s="24"/>
      <c r="I21" s="24"/>
      <c r="J21" s="24"/>
      <c r="K21" s="24"/>
      <c r="L21" s="24"/>
    </row>
    <row r="22" spans="1:13">
      <c r="A22" s="24"/>
      <c r="B22" s="287" t="s">
        <v>119</v>
      </c>
      <c r="C22" s="24"/>
      <c r="D22" s="24"/>
      <c r="E22" s="24"/>
      <c r="F22" s="24"/>
      <c r="G22" s="24"/>
      <c r="H22" s="24"/>
      <c r="I22" s="24"/>
      <c r="J22" s="24"/>
      <c r="K22" s="24"/>
      <c r="L22" s="24"/>
    </row>
    <row r="23" spans="1:13">
      <c r="A23" s="24"/>
      <c r="B23" s="287" t="s">
        <v>262</v>
      </c>
      <c r="C23" s="24"/>
      <c r="D23" s="24"/>
      <c r="E23" s="24"/>
      <c r="F23" s="24"/>
      <c r="G23" s="24"/>
      <c r="H23" s="24"/>
      <c r="I23" s="24"/>
      <c r="J23" s="24"/>
      <c r="K23" s="24"/>
      <c r="L23" s="24"/>
    </row>
    <row r="24" spans="1:13">
      <c r="B24" s="287" t="s">
        <v>99</v>
      </c>
    </row>
    <row r="25" spans="1:13">
      <c r="B25" s="287" t="s">
        <v>260</v>
      </c>
    </row>
    <row r="26" spans="1:13">
      <c r="B26" s="287" t="s">
        <v>100</v>
      </c>
    </row>
    <row r="27" spans="1:13">
      <c r="B27" s="287" t="s">
        <v>263</v>
      </c>
    </row>
    <row r="28" spans="1:13">
      <c r="B28" s="287" t="s">
        <v>279</v>
      </c>
    </row>
    <row r="29" spans="1:13">
      <c r="B29" s="287" t="s">
        <v>236</v>
      </c>
    </row>
    <row r="30" spans="1:13">
      <c r="B30" s="287" t="s">
        <v>282</v>
      </c>
    </row>
    <row r="31" spans="1:13">
      <c r="B31" s="287" t="s">
        <v>101</v>
      </c>
    </row>
    <row r="32" spans="1:13">
      <c r="B32" s="287" t="s">
        <v>259</v>
      </c>
    </row>
    <row r="33" spans="2:2">
      <c r="B33" s="287" t="s">
        <v>264</v>
      </c>
    </row>
    <row r="34" spans="2:2">
      <c r="B34" s="287" t="s">
        <v>257</v>
      </c>
    </row>
    <row r="35" spans="2:2">
      <c r="B35" s="287" t="s">
        <v>265</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15" activePane="bottomLeft" state="frozen"/>
      <selection activeCell="B75" sqref="A1:XFD1048576"/>
      <selection pane="bottomLeft" activeCell="D27" sqref="D27"/>
    </sheetView>
  </sheetViews>
  <sheetFormatPr defaultRowHeight="12.75"/>
  <cols>
    <col min="1" max="1" width="19.125" bestFit="1" customWidth="1"/>
    <col min="2" max="2" width="12.125" bestFit="1" customWidth="1"/>
    <col min="3" max="3" width="104.125" customWidth="1"/>
    <col min="4" max="4" width="35.5" customWidth="1"/>
  </cols>
  <sheetData>
    <row r="1" spans="1:4" s="31" customFormat="1" ht="20.25">
      <c r="A1" s="29" t="s">
        <v>121</v>
      </c>
      <c r="B1" s="29"/>
      <c r="C1" s="29"/>
      <c r="D1" s="29"/>
    </row>
    <row r="2" spans="1:4" s="31" customFormat="1" ht="20.25">
      <c r="A2" s="29" t="str">
        <f>'RFPR cover'!C5</f>
        <v>ENWL</v>
      </c>
      <c r="B2" s="29"/>
      <c r="C2" s="29"/>
      <c r="D2" s="29"/>
    </row>
    <row r="3" spans="1:4" s="31" customFormat="1" ht="20.25">
      <c r="A3" s="29">
        <f>'RFPR cover'!C7</f>
        <v>2023</v>
      </c>
      <c r="B3" s="29"/>
      <c r="C3" s="29"/>
      <c r="D3" s="29"/>
    </row>
    <row r="4" spans="1:4" s="31" customFormat="1" ht="20.25">
      <c r="A4" s="842"/>
      <c r="B4" s="842"/>
      <c r="C4" s="842"/>
      <c r="D4" s="842"/>
    </row>
    <row r="5" spans="1:4" ht="30">
      <c r="A5" s="839" t="s">
        <v>436</v>
      </c>
      <c r="B5" s="840" t="s">
        <v>437</v>
      </c>
      <c r="C5" s="841" t="s">
        <v>438</v>
      </c>
    </row>
    <row r="6" spans="1:4">
      <c r="A6" s="336">
        <v>1.1000000000000001</v>
      </c>
      <c r="B6" s="850" t="s">
        <v>518</v>
      </c>
      <c r="C6" s="857" t="s">
        <v>519</v>
      </c>
    </row>
    <row r="7" spans="1:4">
      <c r="A7" s="336">
        <v>1.1000000000000001</v>
      </c>
      <c r="B7" s="850" t="s">
        <v>518</v>
      </c>
      <c r="C7" s="857" t="s">
        <v>520</v>
      </c>
    </row>
    <row r="8" spans="1:4">
      <c r="A8" s="336">
        <v>1.1000000000000001</v>
      </c>
      <c r="B8" s="848" t="s">
        <v>521</v>
      </c>
      <c r="C8" s="856" t="s">
        <v>522</v>
      </c>
    </row>
    <row r="9" spans="1:4" ht="25.5">
      <c r="A9" s="336">
        <v>1.1000000000000001</v>
      </c>
      <c r="B9" s="848" t="s">
        <v>524</v>
      </c>
      <c r="C9" s="856" t="s">
        <v>525</v>
      </c>
    </row>
    <row r="10" spans="1:4">
      <c r="A10" s="336">
        <v>1.1000000000000001</v>
      </c>
      <c r="B10" s="848" t="s">
        <v>524</v>
      </c>
      <c r="C10" s="856" t="s">
        <v>527</v>
      </c>
    </row>
    <row r="11" spans="1:4">
      <c r="A11" s="336">
        <v>1.1000000000000001</v>
      </c>
      <c r="B11" s="848" t="s">
        <v>529</v>
      </c>
      <c r="C11" s="856" t="s">
        <v>528</v>
      </c>
    </row>
    <row r="12" spans="1:4" ht="25.5">
      <c r="A12" s="336">
        <v>1.1000000000000001</v>
      </c>
      <c r="B12" s="848" t="s">
        <v>524</v>
      </c>
      <c r="C12" s="856" t="s">
        <v>530</v>
      </c>
    </row>
    <row r="13" spans="1:4" ht="51">
      <c r="A13" s="336">
        <v>1.1000000000000001</v>
      </c>
      <c r="B13" s="848" t="s">
        <v>524</v>
      </c>
      <c r="C13" s="856" t="s">
        <v>531</v>
      </c>
    </row>
    <row r="14" spans="1:4">
      <c r="A14" s="337">
        <v>1.1000000000000001</v>
      </c>
      <c r="B14" s="848" t="s">
        <v>532</v>
      </c>
      <c r="C14" s="856" t="s">
        <v>533</v>
      </c>
    </row>
    <row r="15" spans="1:4">
      <c r="A15" s="337">
        <v>1.1000000000000001</v>
      </c>
      <c r="B15" s="848" t="s">
        <v>521</v>
      </c>
      <c r="C15" s="856" t="s">
        <v>534</v>
      </c>
    </row>
    <row r="16" spans="1:4" ht="38.25">
      <c r="A16" s="337">
        <v>1.1000000000000001</v>
      </c>
      <c r="B16" s="848" t="s">
        <v>535</v>
      </c>
      <c r="C16" s="856" t="s">
        <v>536</v>
      </c>
    </row>
    <row r="17" spans="1:3">
      <c r="A17" s="337">
        <v>1.1000000000000001</v>
      </c>
      <c r="B17" s="848" t="s">
        <v>529</v>
      </c>
      <c r="C17" s="288" t="s">
        <v>537</v>
      </c>
    </row>
    <row r="18" spans="1:3" ht="25.5">
      <c r="A18" s="337">
        <v>1.1000000000000001</v>
      </c>
      <c r="B18" s="848" t="s">
        <v>529</v>
      </c>
      <c r="C18" s="288" t="s">
        <v>538</v>
      </c>
    </row>
    <row r="19" spans="1:3">
      <c r="A19" s="337">
        <v>1.1000000000000001</v>
      </c>
      <c r="B19" s="848" t="s">
        <v>539</v>
      </c>
      <c r="C19" s="288" t="s">
        <v>540</v>
      </c>
    </row>
    <row r="20" spans="1:3" ht="25.5">
      <c r="A20" s="337">
        <v>1.1000000000000001</v>
      </c>
      <c r="B20" s="848" t="s">
        <v>539</v>
      </c>
      <c r="C20" s="288" t="s">
        <v>551</v>
      </c>
    </row>
    <row r="21" spans="1:3">
      <c r="A21" s="337">
        <v>1.1000000000000001</v>
      </c>
      <c r="B21" s="848" t="s">
        <v>552</v>
      </c>
      <c r="C21" s="288" t="s">
        <v>553</v>
      </c>
    </row>
    <row r="22" spans="1:3">
      <c r="A22" s="337">
        <v>1.1000000000000001</v>
      </c>
      <c r="B22" s="337" t="s">
        <v>532</v>
      </c>
      <c r="C22" s="288" t="s">
        <v>554</v>
      </c>
    </row>
    <row r="23" spans="1:3" ht="25.5">
      <c r="A23" s="337">
        <v>1.1000000000000001</v>
      </c>
      <c r="B23" s="848" t="s">
        <v>532</v>
      </c>
      <c r="C23" s="288" t="s">
        <v>555</v>
      </c>
    </row>
    <row r="24" spans="1:3" ht="25.5">
      <c r="A24" s="337">
        <v>1.1000000000000001</v>
      </c>
      <c r="B24" s="848" t="s">
        <v>535</v>
      </c>
      <c r="C24" s="288" t="s">
        <v>556</v>
      </c>
    </row>
    <row r="25" spans="1:3" ht="26.25" thickBot="1">
      <c r="A25" s="944">
        <v>1.1000000000000001</v>
      </c>
      <c r="B25" s="945" t="s">
        <v>539</v>
      </c>
      <c r="C25" s="946" t="s">
        <v>558</v>
      </c>
    </row>
    <row r="26" spans="1:3">
      <c r="A26" s="941">
        <v>1.1000000000000001</v>
      </c>
      <c r="B26" s="942" t="s">
        <v>532</v>
      </c>
      <c r="C26" s="943" t="s">
        <v>559</v>
      </c>
    </row>
    <row r="27" spans="1:3">
      <c r="A27" s="941">
        <v>1.1000000000000001</v>
      </c>
      <c r="B27" s="848" t="s">
        <v>539</v>
      </c>
      <c r="C27" s="288" t="s">
        <v>560</v>
      </c>
    </row>
    <row r="28" spans="1:3" ht="25.5">
      <c r="A28" s="337">
        <v>1.1000000000000001</v>
      </c>
      <c r="B28" s="848" t="s">
        <v>539</v>
      </c>
      <c r="C28" s="288" t="s">
        <v>561</v>
      </c>
    </row>
    <row r="29" spans="1:3">
      <c r="A29" s="947">
        <v>2</v>
      </c>
      <c r="B29" s="848" t="s">
        <v>539</v>
      </c>
      <c r="C29" s="288" t="s">
        <v>565</v>
      </c>
    </row>
    <row r="30" spans="1:3">
      <c r="A30" s="947">
        <v>2</v>
      </c>
      <c r="B30" s="848" t="s">
        <v>539</v>
      </c>
      <c r="C30" s="288" t="s">
        <v>566</v>
      </c>
    </row>
    <row r="31" spans="1:3">
      <c r="A31" s="947">
        <v>2</v>
      </c>
      <c r="B31" s="848" t="s">
        <v>539</v>
      </c>
      <c r="C31" s="288" t="s">
        <v>569</v>
      </c>
    </row>
    <row r="32" spans="1:3" ht="25.5">
      <c r="A32" s="947">
        <v>2</v>
      </c>
      <c r="B32" s="848" t="s">
        <v>263</v>
      </c>
      <c r="C32" s="870" t="s">
        <v>571</v>
      </c>
    </row>
    <row r="33" spans="1:3" ht="27.75" customHeight="1">
      <c r="A33" s="947">
        <v>2</v>
      </c>
      <c r="B33" s="848" t="s">
        <v>567</v>
      </c>
      <c r="C33" s="288" t="s">
        <v>568</v>
      </c>
    </row>
    <row r="34" spans="1:3">
      <c r="A34" s="337">
        <v>2.1</v>
      </c>
      <c r="B34" s="848" t="s">
        <v>259</v>
      </c>
      <c r="C34" s="288" t="s">
        <v>570</v>
      </c>
    </row>
    <row r="35" spans="1:3" ht="25.5">
      <c r="A35" s="337">
        <v>2.1</v>
      </c>
      <c r="B35" s="848" t="s">
        <v>263</v>
      </c>
      <c r="C35" s="288" t="s">
        <v>572</v>
      </c>
    </row>
    <row r="36" spans="1:3">
      <c r="A36" s="338"/>
      <c r="B36" s="873"/>
      <c r="C36" s="288"/>
    </row>
    <row r="37" spans="1:3">
      <c r="A37" s="338"/>
      <c r="B37" s="873"/>
      <c r="C37" s="288"/>
    </row>
    <row r="38" spans="1:3">
      <c r="A38" s="338"/>
      <c r="B38" s="873"/>
      <c r="C38" s="288"/>
    </row>
    <row r="39" spans="1:3">
      <c r="A39" s="338"/>
      <c r="B39" s="873"/>
      <c r="C39" s="288"/>
    </row>
    <row r="40" spans="1:3">
      <c r="A40" s="337"/>
      <c r="B40" s="873"/>
      <c r="C40" s="288"/>
    </row>
    <row r="41" spans="1:3">
      <c r="A41" s="338"/>
      <c r="B41" s="873"/>
      <c r="C41" s="288"/>
    </row>
    <row r="42" spans="1:3">
      <c r="A42" s="338"/>
      <c r="B42" s="873"/>
      <c r="C42" s="288"/>
    </row>
    <row r="43" spans="1:3">
      <c r="A43" s="338"/>
      <c r="B43" s="873"/>
      <c r="C43" s="288"/>
    </row>
    <row r="44" spans="1:3">
      <c r="A44" s="338"/>
      <c r="B44" s="848"/>
      <c r="C44" s="288"/>
    </row>
    <row r="45" spans="1:3">
      <c r="A45" s="338"/>
      <c r="B45" s="848"/>
      <c r="C45" s="288"/>
    </row>
    <row r="46" spans="1:3">
      <c r="A46" s="338"/>
      <c r="B46" s="848"/>
      <c r="C46" s="288"/>
    </row>
    <row r="47" spans="1:3">
      <c r="A47" s="338"/>
      <c r="B47" s="848"/>
      <c r="C47" s="288"/>
    </row>
    <row r="48" spans="1:3">
      <c r="A48" s="338"/>
      <c r="B48" s="848"/>
      <c r="C48" s="288"/>
    </row>
    <row r="49" spans="1:3">
      <c r="A49" s="338"/>
      <c r="B49" s="848"/>
      <c r="C49" s="288"/>
    </row>
    <row r="50" spans="1:3">
      <c r="A50" s="338"/>
      <c r="B50" s="848"/>
      <c r="C50" s="288"/>
    </row>
    <row r="51" spans="1:3">
      <c r="A51" s="338"/>
      <c r="B51" s="848"/>
      <c r="C51" s="288"/>
    </row>
    <row r="52" spans="1:3">
      <c r="A52" s="338"/>
      <c r="B52" s="848"/>
      <c r="C52" s="288"/>
    </row>
    <row r="53" spans="1:3">
      <c r="A53" s="338"/>
      <c r="B53" s="848"/>
      <c r="C53" s="288"/>
    </row>
    <row r="54" spans="1:3">
      <c r="A54" s="338"/>
      <c r="B54" s="881"/>
      <c r="C54" s="882"/>
    </row>
    <row r="55" spans="1:3">
      <c r="A55" s="338"/>
      <c r="B55" s="848"/>
      <c r="C55" s="288"/>
    </row>
    <row r="56" spans="1:3">
      <c r="A56" s="338"/>
      <c r="B56" s="848"/>
      <c r="C56" s="288"/>
    </row>
    <row r="57" spans="1:3">
      <c r="A57" s="338"/>
      <c r="B57" s="848"/>
      <c r="C57" s="288"/>
    </row>
    <row r="58" spans="1:3">
      <c r="A58" s="338"/>
      <c r="B58" s="848"/>
      <c r="C58" s="288"/>
    </row>
    <row r="59" spans="1:3">
      <c r="A59" s="338"/>
      <c r="B59" s="848"/>
      <c r="C59" s="870"/>
    </row>
    <row r="60" spans="1:3">
      <c r="A60" s="339"/>
      <c r="B60" s="849"/>
      <c r="C60" s="289"/>
    </row>
    <row r="61" spans="1:3">
      <c r="A61" s="339"/>
      <c r="B61" s="849"/>
      <c r="C61" s="289"/>
    </row>
    <row r="62" spans="1:3">
      <c r="A62" s="339"/>
      <c r="B62" s="849"/>
      <c r="C62" s="289"/>
    </row>
    <row r="63" spans="1:3">
      <c r="A63" s="339"/>
      <c r="B63" s="849"/>
      <c r="C63" s="289"/>
    </row>
    <row r="64" spans="1:3">
      <c r="A64" s="339"/>
      <c r="B64" s="849"/>
      <c r="C64" s="289"/>
    </row>
    <row r="65" spans="1:3">
      <c r="A65" s="339"/>
      <c r="B65" s="849"/>
      <c r="C65" s="289"/>
    </row>
    <row r="66" spans="1:3">
      <c r="A66" s="339"/>
      <c r="B66" s="849"/>
      <c r="C66" s="289"/>
    </row>
    <row r="67" spans="1:3">
      <c r="A67" s="339"/>
      <c r="B67" s="849"/>
      <c r="C67" s="289"/>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activeCell="R59" sqref="R59"/>
    </sheetView>
  </sheetViews>
  <sheetFormatPr defaultRowHeight="12.75"/>
  <cols>
    <col min="1" max="1" width="8.375" customWidth="1"/>
    <col min="2" max="2" width="63.375" style="197" customWidth="1"/>
    <col min="3" max="3" width="13.375" style="42" customWidth="1"/>
    <col min="4" max="11" width="9.125" customWidth="1"/>
    <col min="12" max="12" width="3.625" customWidth="1"/>
    <col min="13" max="14" width="13.75" customWidth="1"/>
    <col min="15" max="15" width="5.125" customWidth="1"/>
  </cols>
  <sheetData>
    <row r="1" spans="1:16" s="31" customFormat="1" ht="20.25">
      <c r="A1" s="911" t="s">
        <v>238</v>
      </c>
      <c r="B1" s="920"/>
      <c r="C1" s="921"/>
      <c r="D1" s="921"/>
      <c r="E1" s="921"/>
      <c r="F1" s="921"/>
      <c r="G1" s="257"/>
      <c r="H1" s="257"/>
      <c r="I1" s="258"/>
      <c r="J1" s="258"/>
      <c r="K1" s="259"/>
      <c r="L1" s="259"/>
      <c r="M1" s="259"/>
      <c r="N1" s="259"/>
      <c r="O1" s="368" t="s">
        <v>84</v>
      </c>
    </row>
    <row r="2" spans="1:16" s="31" customFormat="1" ht="20.25">
      <c r="A2" s="914" t="str">
        <f>'RFPR cover'!C5</f>
        <v>ENWL</v>
      </c>
      <c r="B2" s="922"/>
      <c r="C2" s="906"/>
      <c r="D2" s="906"/>
      <c r="E2" s="906"/>
      <c r="F2" s="906"/>
      <c r="G2" s="29"/>
      <c r="H2" s="29"/>
      <c r="I2" s="27"/>
      <c r="J2" s="27"/>
      <c r="K2" s="27"/>
      <c r="L2" s="27"/>
      <c r="M2" s="27"/>
      <c r="N2" s="27"/>
      <c r="O2" s="124"/>
    </row>
    <row r="3" spans="1:16" s="31" customFormat="1" ht="23.25">
      <c r="A3" s="917">
        <f>'RFPR cover'!C7</f>
        <v>2023</v>
      </c>
      <c r="B3" s="923" t="str">
        <f>IF('RFPR cover'!C5=Data!B98,"Not required to be completed for System Operator",(IF('RFPR cover'!C5=Data!B96,"Not required to be completed for System Operator","")))</f>
        <v/>
      </c>
      <c r="C3" s="924"/>
      <c r="D3" s="924"/>
      <c r="E3" s="924"/>
      <c r="F3" s="924"/>
      <c r="G3" s="261"/>
      <c r="H3" s="261"/>
      <c r="I3" s="256"/>
      <c r="J3" s="256"/>
      <c r="K3" s="256"/>
      <c r="L3" s="256"/>
      <c r="M3" s="256"/>
      <c r="N3" s="256"/>
      <c r="O3" s="262"/>
    </row>
    <row r="4" spans="1:16" ht="12.75" customHeight="1"/>
    <row r="5" spans="1:16">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Actuals</v>
      </c>
      <c r="L5" s="2"/>
      <c r="M5" s="2"/>
    </row>
    <row r="6" spans="1:16" ht="31.5" customHeight="1">
      <c r="C6" s="173"/>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49"/>
      <c r="M6" s="102" t="str">
        <f>"Cumulative to "&amp;'RFPR cover'!$C$7</f>
        <v>Cumulative to 2023</v>
      </c>
      <c r="N6" s="195" t="s">
        <v>109</v>
      </c>
    </row>
    <row r="7" spans="1:16">
      <c r="C7" s="173"/>
      <c r="D7" s="173"/>
      <c r="E7" s="173"/>
      <c r="F7" s="173"/>
      <c r="G7" s="173"/>
      <c r="H7" s="173"/>
      <c r="I7" s="173"/>
      <c r="J7" s="173"/>
      <c r="K7" s="173"/>
      <c r="L7" s="173"/>
      <c r="M7" s="173"/>
      <c r="N7" s="173"/>
      <c r="O7" s="173"/>
    </row>
    <row r="8" spans="1:16">
      <c r="B8" s="532" t="s">
        <v>108</v>
      </c>
      <c r="C8" s="425"/>
      <c r="D8" s="425"/>
      <c r="E8" s="425"/>
      <c r="F8" s="425"/>
      <c r="G8" s="425"/>
      <c r="H8" s="425"/>
      <c r="I8" s="425"/>
      <c r="J8" s="425"/>
      <c r="K8" s="425"/>
      <c r="L8" s="533"/>
      <c r="M8" s="218"/>
      <c r="N8" s="218"/>
      <c r="O8" s="218"/>
    </row>
    <row r="9" spans="1:16">
      <c r="B9" s="198"/>
      <c r="D9" s="42"/>
      <c r="E9" s="42"/>
      <c r="F9" s="42"/>
      <c r="G9" s="42"/>
      <c r="H9" s="42"/>
      <c r="I9" s="42"/>
      <c r="J9" s="42"/>
      <c r="K9" s="42"/>
      <c r="L9" s="49"/>
    </row>
    <row r="10" spans="1:16">
      <c r="B10" s="253" t="s">
        <v>214</v>
      </c>
      <c r="C10" s="255" t="s">
        <v>7</v>
      </c>
      <c r="D10" s="508">
        <f t="shared" ref="D10:K19" si="1">D48/D$65</f>
        <v>0.06</v>
      </c>
      <c r="E10" s="510">
        <f t="shared" si="1"/>
        <v>0.06</v>
      </c>
      <c r="F10" s="510">
        <f t="shared" si="1"/>
        <v>0.06</v>
      </c>
      <c r="G10" s="510">
        <f t="shared" si="1"/>
        <v>5.9999999999999991E-2</v>
      </c>
      <c r="H10" s="510">
        <f t="shared" si="1"/>
        <v>6.0000000000000005E-2</v>
      </c>
      <c r="I10" s="510">
        <f t="shared" si="1"/>
        <v>0.06</v>
      </c>
      <c r="J10" s="510">
        <f t="shared" si="1"/>
        <v>6.0000000000000005E-2</v>
      </c>
      <c r="K10" s="509">
        <f t="shared" si="1"/>
        <v>0.06</v>
      </c>
      <c r="L10" s="174"/>
      <c r="M10" s="509">
        <f>AVERAGE(D48:INDEX(D48:K48,0,MATCH('RFPR cover'!$C$7,$D$6:$K$6,0)))/AVERAGE($D$65:INDEX($D$65:$K$65,0,MATCH('RFPR cover'!$C$7,$D$6:$K$6,0)))</f>
        <v>5.9999999999999991E-2</v>
      </c>
      <c r="N10" s="509">
        <f>AVERAGE(D48:K48)/AVERAGE($D$65:$K$65)</f>
        <v>5.9999999999999991E-2</v>
      </c>
    </row>
    <row r="11" spans="1:16">
      <c r="B11" s="253" t="str">
        <f t="shared" ref="B11:B18" si="2">B49</f>
        <v>Totex outperformance</v>
      </c>
      <c r="C11" s="255" t="s">
        <v>7</v>
      </c>
      <c r="D11" s="176">
        <f t="shared" si="1"/>
        <v>3.9878627729813829E-3</v>
      </c>
      <c r="E11" s="177">
        <f t="shared" si="1"/>
        <v>1.2164880155640989E-2</v>
      </c>
      <c r="F11" s="177">
        <f t="shared" si="1"/>
        <v>4.6045703146350217E-3</v>
      </c>
      <c r="G11" s="177">
        <f t="shared" si="1"/>
        <v>2.9358857856602291E-2</v>
      </c>
      <c r="H11" s="177">
        <f t="shared" si="1"/>
        <v>1.9757451846579226E-2</v>
      </c>
      <c r="I11" s="177">
        <f t="shared" si="1"/>
        <v>2.0557363204801522E-2</v>
      </c>
      <c r="J11" s="177">
        <f t="shared" si="1"/>
        <v>2.453358390369189E-2</v>
      </c>
      <c r="K11" s="178">
        <f t="shared" si="1"/>
        <v>3.8955833260327706E-2</v>
      </c>
      <c r="L11" s="174"/>
      <c r="M11" s="178">
        <f>AVERAGE(D49:INDEX(D49:K49,0,MATCH('RFPR cover'!$C$7,$D$6:$K$6,0)))/AVERAGE($D$65:INDEX($D$65:$K$65,0,MATCH('RFPR cover'!$C$7,$D$6:$K$6,0)))</f>
        <v>1.9463887865771343E-2</v>
      </c>
      <c r="N11" s="178">
        <f t="shared" ref="N11:N19" si="3">AVERAGE(D49:K49)/AVERAGE($D$65:$K$65)</f>
        <v>1.9463887865771343E-2</v>
      </c>
      <c r="P11" s="174"/>
    </row>
    <row r="12" spans="1:16">
      <c r="B12" s="253" t="str">
        <f t="shared" si="2"/>
        <v>IQI Reward</v>
      </c>
      <c r="C12" s="255" t="s">
        <v>7</v>
      </c>
      <c r="D12" s="176">
        <f t="shared" si="1"/>
        <v>2.9574995326302404E-3</v>
      </c>
      <c r="E12" s="177">
        <f t="shared" si="1"/>
        <v>2.7830702331578913E-3</v>
      </c>
      <c r="F12" s="177">
        <f t="shared" si="1"/>
        <v>2.7597916455408397E-3</v>
      </c>
      <c r="G12" s="177">
        <f t="shared" si="1"/>
        <v>2.7401675988347851E-3</v>
      </c>
      <c r="H12" s="177">
        <f t="shared" si="1"/>
        <v>2.7101170625548434E-3</v>
      </c>
      <c r="I12" s="177">
        <f t="shared" si="1"/>
        <v>2.6424827906337514E-3</v>
      </c>
      <c r="J12" s="177">
        <f t="shared" si="1"/>
        <v>2.6837485944492556E-3</v>
      </c>
      <c r="K12" s="178">
        <f t="shared" si="1"/>
        <v>2.5444189463900845E-3</v>
      </c>
      <c r="L12" s="174"/>
      <c r="M12" s="178">
        <f>AVERAGE(D50:INDEX(D50:K50,0,MATCH('RFPR cover'!$C$7,$D$6:$K$6,0)))/AVERAGE($D$65:INDEX($D$65:$K$65,0,MATCH('RFPR cover'!$C$7,$D$6:$K$6,0)))</f>
        <v>2.7253192921601749E-3</v>
      </c>
      <c r="N12" s="178">
        <f t="shared" si="3"/>
        <v>2.7253192921601749E-3</v>
      </c>
    </row>
    <row r="13" spans="1:16">
      <c r="B13" s="253" t="str">
        <f t="shared" si="2"/>
        <v>Broad measure of customer service</v>
      </c>
      <c r="C13" s="255" t="s">
        <v>7</v>
      </c>
      <c r="D13" s="176">
        <f t="shared" si="1"/>
        <v>-3.1819675469992579E-4</v>
      </c>
      <c r="E13" s="177">
        <f t="shared" si="1"/>
        <v>1.0180502063750552E-3</v>
      </c>
      <c r="F13" s="177">
        <f t="shared" si="1"/>
        <v>2.7965056803060159E-3</v>
      </c>
      <c r="G13" s="177">
        <f t="shared" si="1"/>
        <v>3.65183668543032E-3</v>
      </c>
      <c r="H13" s="177">
        <f t="shared" si="1"/>
        <v>4.539350806117586E-3</v>
      </c>
      <c r="I13" s="177">
        <f t="shared" si="1"/>
        <v>4.7125359217147717E-3</v>
      </c>
      <c r="J13" s="177">
        <f t="shared" si="1"/>
        <v>4.4332932310390321E-3</v>
      </c>
      <c r="K13" s="178">
        <f t="shared" si="1"/>
        <v>5.170900767769512E-3</v>
      </c>
      <c r="L13" s="174"/>
      <c r="M13" s="178">
        <f>AVERAGE(D51:INDEX(D51:K51,0,MATCH('RFPR cover'!$C$7,$D$6:$K$6,0)))/AVERAGE($D$65:INDEX($D$65:$K$65,0,MATCH('RFPR cover'!$C$7,$D$6:$K$6,0)))</f>
        <v>3.2868295189387759E-3</v>
      </c>
      <c r="N13" s="178">
        <f t="shared" si="3"/>
        <v>3.2868295189387759E-3</v>
      </c>
    </row>
    <row r="14" spans="1:16">
      <c r="B14" s="253" t="str">
        <f t="shared" si="2"/>
        <v>Interruptions-related quality of service</v>
      </c>
      <c r="C14" s="255" t="s">
        <v>7</v>
      </c>
      <c r="D14" s="176">
        <f t="shared" si="1"/>
        <v>1.9634234750612635E-2</v>
      </c>
      <c r="E14" s="177">
        <f t="shared" si="1"/>
        <v>1.8065312985087293E-2</v>
      </c>
      <c r="F14" s="177">
        <f t="shared" si="1"/>
        <v>1.4719705495712259E-2</v>
      </c>
      <c r="G14" s="177">
        <f t="shared" si="1"/>
        <v>1.4893087646705806E-2</v>
      </c>
      <c r="H14" s="177">
        <f t="shared" si="1"/>
        <v>2.0236994060032432E-2</v>
      </c>
      <c r="I14" s="177">
        <f t="shared" si="1"/>
        <v>1.8001716446867728E-2</v>
      </c>
      <c r="J14" s="177">
        <f t="shared" si="1"/>
        <v>1.903024063749115E-2</v>
      </c>
      <c r="K14" s="178">
        <f t="shared" si="1"/>
        <v>1.7425899775167761E-2</v>
      </c>
      <c r="L14" s="174"/>
      <c r="M14" s="178">
        <f>AVERAGE(D52:INDEX(D52:K52,0,MATCH('RFPR cover'!$C$7,$D$6:$K$6,0)))/AVERAGE($D$65:INDEX($D$65:$K$65,0,MATCH('RFPR cover'!$C$7,$D$6:$K$6,0)))</f>
        <v>1.7756384346730773E-2</v>
      </c>
      <c r="N14" s="178">
        <f t="shared" si="3"/>
        <v>1.7756384346730773E-2</v>
      </c>
    </row>
    <row r="15" spans="1:16">
      <c r="B15" s="253" t="str">
        <f t="shared" si="2"/>
        <v>Incentive on connections engagement</v>
      </c>
      <c r="C15" s="255" t="s">
        <v>7</v>
      </c>
      <c r="D15" s="176">
        <f t="shared" si="1"/>
        <v>0</v>
      </c>
      <c r="E15" s="177">
        <f t="shared" si="1"/>
        <v>0</v>
      </c>
      <c r="F15" s="177">
        <f t="shared" si="1"/>
        <v>0</v>
      </c>
      <c r="G15" s="177">
        <f t="shared" si="1"/>
        <v>0</v>
      </c>
      <c r="H15" s="177">
        <f t="shared" si="1"/>
        <v>0</v>
      </c>
      <c r="I15" s="177">
        <f t="shared" si="1"/>
        <v>0</v>
      </c>
      <c r="J15" s="177">
        <f t="shared" si="1"/>
        <v>0</v>
      </c>
      <c r="K15" s="178">
        <f t="shared" si="1"/>
        <v>0</v>
      </c>
      <c r="L15" s="174"/>
      <c r="M15" s="178">
        <f>AVERAGE(D53:INDEX(D53:K53,0,MATCH('RFPR cover'!$C$7,$D$6:$K$6,0)))/AVERAGE($D$65:INDEX($D$65:$K$65,0,MATCH('RFPR cover'!$C$7,$D$6:$K$6,0)))</f>
        <v>0</v>
      </c>
      <c r="N15" s="178">
        <f t="shared" si="3"/>
        <v>0</v>
      </c>
    </row>
    <row r="16" spans="1:16">
      <c r="B16" s="253" t="str">
        <f t="shared" si="2"/>
        <v>Time to Connect Incentive</v>
      </c>
      <c r="C16" s="255" t="s">
        <v>7</v>
      </c>
      <c r="D16" s="176">
        <f t="shared" si="1"/>
        <v>1.8456326621687921E-3</v>
      </c>
      <c r="E16" s="177">
        <f t="shared" si="1"/>
        <v>1.8359700931634376E-3</v>
      </c>
      <c r="F16" s="177">
        <f t="shared" si="1"/>
        <v>1.82613516162382E-3</v>
      </c>
      <c r="G16" s="177">
        <f t="shared" si="1"/>
        <v>1.7752120149068555E-3</v>
      </c>
      <c r="H16" s="177">
        <f t="shared" si="1"/>
        <v>1.7850175502783301E-3</v>
      </c>
      <c r="I16" s="177">
        <f t="shared" si="1"/>
        <v>1.7606964881138457E-3</v>
      </c>
      <c r="J16" s="177">
        <f t="shared" si="1"/>
        <v>1.7327105720963138E-3</v>
      </c>
      <c r="K16" s="178">
        <f t="shared" si="1"/>
        <v>1.7178229275288098E-3</v>
      </c>
      <c r="L16" s="174"/>
      <c r="M16" s="178">
        <f>AVERAGE(D54:INDEX(D54:K54,0,MATCH('RFPR cover'!$C$7,$D$6:$K$6,0)))/AVERAGE($D$65:INDEX($D$65:$K$65,0,MATCH('RFPR cover'!$C$7,$D$6:$K$6,0)))</f>
        <v>1.7838686103326647E-3</v>
      </c>
      <c r="N16" s="178">
        <f t="shared" si="3"/>
        <v>1.7838686103326647E-3</v>
      </c>
    </row>
    <row r="17" spans="2:16">
      <c r="B17" s="253" t="str">
        <f t="shared" si="2"/>
        <v>Losses discretionary reward scheme</v>
      </c>
      <c r="C17" s="255" t="s">
        <v>7</v>
      </c>
      <c r="D17" s="176">
        <f t="shared" si="1"/>
        <v>0</v>
      </c>
      <c r="E17" s="177">
        <f t="shared" si="1"/>
        <v>1.0633326789571576E-3</v>
      </c>
      <c r="F17" s="177">
        <f t="shared" si="1"/>
        <v>0</v>
      </c>
      <c r="G17" s="177">
        <f t="shared" si="1"/>
        <v>0</v>
      </c>
      <c r="H17" s="177">
        <f t="shared" si="1"/>
        <v>0</v>
      </c>
      <c r="I17" s="177">
        <f t="shared" si="1"/>
        <v>0</v>
      </c>
      <c r="J17" s="177">
        <f t="shared" si="1"/>
        <v>0</v>
      </c>
      <c r="K17" s="178">
        <f t="shared" si="1"/>
        <v>0</v>
      </c>
      <c r="L17" s="174"/>
      <c r="M17" s="178">
        <f>AVERAGE(D55:INDEX(D55:K55,0,MATCH('RFPR cover'!$C$7,$D$6:$K$6,0)))/AVERAGE($D$65:INDEX($D$65:$K$65,0,MATCH('RFPR cover'!$C$7,$D$6:$K$6,0)))</f>
        <v>1.2977498790883206E-4</v>
      </c>
      <c r="N17" s="178">
        <f t="shared" si="3"/>
        <v>1.2977498790883206E-4</v>
      </c>
    </row>
    <row r="18" spans="2:16">
      <c r="B18" s="253" t="str">
        <f t="shared" si="2"/>
        <v xml:space="preserve">Network Innovation </v>
      </c>
      <c r="C18" s="255" t="s">
        <v>7</v>
      </c>
      <c r="D18" s="176">
        <f t="shared" si="1"/>
        <v>2.4804953019164355E-3</v>
      </c>
      <c r="E18" s="177">
        <f t="shared" si="1"/>
        <v>-7.7984385484426006E-4</v>
      </c>
      <c r="F18" s="177">
        <f t="shared" si="1"/>
        <v>-6.950808515829933E-4</v>
      </c>
      <c r="G18" s="177">
        <f t="shared" si="1"/>
        <v>-7.0468647183804362E-4</v>
      </c>
      <c r="H18" s="177">
        <f t="shared" si="1"/>
        <v>1.2209300377542278E-3</v>
      </c>
      <c r="I18" s="177">
        <f t="shared" si="1"/>
        <v>1.6937119654708501E-4</v>
      </c>
      <c r="J18" s="177">
        <f t="shared" si="1"/>
        <v>-5.9834571589085161E-4</v>
      </c>
      <c r="K18" s="178">
        <f t="shared" si="1"/>
        <v>-7.3614430421651493E-4</v>
      </c>
      <c r="L18" s="174"/>
      <c r="M18" s="178">
        <f>AVERAGE(D56:INDEX(D56:K56,0,MATCH('RFPR cover'!$C$7,$D$6:$K$6,0)))/AVERAGE($D$65:INDEX($D$65:$K$65,0,MATCH('RFPR cover'!$C$7,$D$6:$K$6,0)))</f>
        <v>3.4405738682346614E-5</v>
      </c>
      <c r="N18" s="178">
        <f t="shared" si="3"/>
        <v>3.4405738682346614E-5</v>
      </c>
    </row>
    <row r="19" spans="2:16">
      <c r="B19" s="253" t="str">
        <f>B57</f>
        <v>Penalties and fines</v>
      </c>
      <c r="C19" s="255" t="s">
        <v>7</v>
      </c>
      <c r="D19" s="186">
        <f t="shared" si="1"/>
        <v>-2.7697709206399665E-4</v>
      </c>
      <c r="E19" s="187">
        <f t="shared" si="1"/>
        <v>-2.8451059403801927E-4</v>
      </c>
      <c r="F19" s="187">
        <f t="shared" si="1"/>
        <v>-3.1043557073793789E-4</v>
      </c>
      <c r="G19" s="187">
        <f t="shared" si="1"/>
        <v>-3.099183885681384E-4</v>
      </c>
      <c r="H19" s="187">
        <f t="shared" si="1"/>
        <v>-3.5724864747705435E-4</v>
      </c>
      <c r="I19" s="187">
        <f t="shared" si="1"/>
        <v>-3.5893040535288633E-4</v>
      </c>
      <c r="J19" s="187">
        <f t="shared" si="1"/>
        <v>-2.5849708185727602E-3</v>
      </c>
      <c r="K19" s="188">
        <f t="shared" si="1"/>
        <v>-5.4755978548494757E-4</v>
      </c>
      <c r="L19" s="174"/>
      <c r="M19" s="188">
        <f>AVERAGE(D57:INDEX(D57:K57,0,MATCH('RFPR cover'!$C$7,$D$6:$K$6,0)))/AVERAGE($D$65:INDEX($D$65:$K$65,0,MATCH('RFPR cover'!$C$7,$D$6:$K$6,0)))</f>
        <v>-6.3826834321555547E-4</v>
      </c>
      <c r="N19" s="188">
        <f t="shared" si="3"/>
        <v>-6.3826834321555547E-4</v>
      </c>
    </row>
    <row r="20" spans="2:16">
      <c r="B20" s="254" t="str">
        <f>B58</f>
        <v>RoRE - Operational performance</v>
      </c>
      <c r="C20" s="255" t="s">
        <v>7</v>
      </c>
      <c r="D20" s="189">
        <f t="shared" ref="D20:K20" si="4">SUM(D10:D19)</f>
        <v>9.0310551173545556E-2</v>
      </c>
      <c r="E20" s="190">
        <f t="shared" si="4"/>
        <v>9.5866261903499547E-2</v>
      </c>
      <c r="F20" s="190">
        <f t="shared" si="4"/>
        <v>8.5701191875497004E-2</v>
      </c>
      <c r="G20" s="190">
        <f t="shared" si="4"/>
        <v>0.11140455694207387</v>
      </c>
      <c r="H20" s="190">
        <f t="shared" si="4"/>
        <v>0.10989261271583961</v>
      </c>
      <c r="I20" s="190">
        <f t="shared" si="4"/>
        <v>0.10748523564332582</v>
      </c>
      <c r="J20" s="190">
        <f t="shared" si="4"/>
        <v>0.10923026040430403</v>
      </c>
      <c r="K20" s="191">
        <f t="shared" si="4"/>
        <v>0.12453117158748241</v>
      </c>
      <c r="L20" s="175"/>
      <c r="M20" s="191">
        <f>SUM(M10:M19)</f>
        <v>0.10454220201730935</v>
      </c>
      <c r="N20" s="191">
        <f>SUM(N10:N19)</f>
        <v>0.10454220201730935</v>
      </c>
    </row>
    <row r="21" spans="2:16">
      <c r="B21" s="253" t="str">
        <f>B59</f>
        <v>Debt performance - at notional gearing</v>
      </c>
      <c r="C21" s="255" t="s">
        <v>7</v>
      </c>
      <c r="D21" s="176">
        <f>(D59)/D$65</f>
        <v>-1.9374148829051092E-2</v>
      </c>
      <c r="E21" s="177">
        <f t="shared" ref="E21:K21" si="5">(E59)/E$65</f>
        <v>-1.6929808340844964E-2</v>
      </c>
      <c r="F21" s="177">
        <f t="shared" si="5"/>
        <v>-6.9188721120122115E-3</v>
      </c>
      <c r="G21" s="177">
        <f t="shared" si="5"/>
        <v>-1.0398967869999982E-2</v>
      </c>
      <c r="H21" s="177">
        <f t="shared" si="5"/>
        <v>-1.5024868341563628E-2</v>
      </c>
      <c r="I21" s="177">
        <f t="shared" si="5"/>
        <v>-3.492246416806654E-2</v>
      </c>
      <c r="J21" s="177">
        <f t="shared" si="5"/>
        <v>-1.4174044962439946E-3</v>
      </c>
      <c r="K21" s="178">
        <f t="shared" si="5"/>
        <v>7.0086248593548686E-2</v>
      </c>
      <c r="L21" s="174"/>
      <c r="M21" s="178">
        <f>AVERAGE(D59:INDEX(D59:K59,0,MATCH('RFPR cover'!$C$7,$D$6:$K$6,0)))/AVERAGE($D$65:INDEX($D$65:$K$65,0,MATCH('RFPR cover'!$C$7,$D$6:$K$6,0)))</f>
        <v>-3.8829063673696223E-3</v>
      </c>
      <c r="N21" s="178">
        <f>AVERAGE(D59:K59)/AVERAGE($D$65:$K$65)</f>
        <v>-3.8829063673696223E-3</v>
      </c>
    </row>
    <row r="22" spans="2:16">
      <c r="B22" s="253" t="str">
        <f>B61</f>
        <v>Tax performance - at notional gearing</v>
      </c>
      <c r="C22" s="255" t="s">
        <v>7</v>
      </c>
      <c r="D22" s="176">
        <f>(D61)/D$65</f>
        <v>-1.1237711003710038E-2</v>
      </c>
      <c r="E22" s="177">
        <f t="shared" ref="E22:K22" si="6">(E61)/E$65</f>
        <v>-2.7102846250644979E-3</v>
      </c>
      <c r="F22" s="177">
        <f t="shared" si="6"/>
        <v>8.1846033445886306E-3</v>
      </c>
      <c r="G22" s="177">
        <f t="shared" si="6"/>
        <v>-2.8565912047195225E-3</v>
      </c>
      <c r="H22" s="177">
        <f t="shared" si="6"/>
        <v>-7.2068339794103473E-3</v>
      </c>
      <c r="I22" s="177">
        <f t="shared" si="6"/>
        <v>3.1639125386807992E-3</v>
      </c>
      <c r="J22" s="177">
        <f t="shared" si="6"/>
        <v>1.0327035973722776E-2</v>
      </c>
      <c r="K22" s="178">
        <f t="shared" si="6"/>
        <v>3.3076660262410219E-2</v>
      </c>
      <c r="L22" s="174"/>
      <c r="M22" s="178">
        <f>AVERAGE(D61:INDEX(D61:K61,0,MATCH('RFPR cover'!$C$7,$D$6:$K$6,0)))/AVERAGE($D$65:INDEX($D$65:$K$65,0,MATCH('RFPR cover'!$C$7,$D$6:$K$6,0)))</f>
        <v>4.0972308941414721E-3</v>
      </c>
      <c r="N22" s="178">
        <f>AVERAGE(D61:K61)/AVERAGE($D$65:$K$65)</f>
        <v>4.0972308941414721E-3</v>
      </c>
    </row>
    <row r="23" spans="2:16">
      <c r="B23" s="254" t="str">
        <f>B63</f>
        <v>RoRE - including financing and tax</v>
      </c>
      <c r="C23" s="255" t="s">
        <v>7</v>
      </c>
      <c r="D23" s="192">
        <f>SUM(D20:D22)</f>
        <v>5.9698691340784434E-2</v>
      </c>
      <c r="E23" s="193">
        <f t="shared" ref="E23:K23" si="7">SUM(E20:E22)</f>
        <v>7.6226168937590086E-2</v>
      </c>
      <c r="F23" s="193">
        <f t="shared" si="7"/>
        <v>8.6966923108073427E-2</v>
      </c>
      <c r="G23" s="193">
        <f t="shared" si="7"/>
        <v>9.8148997867354357E-2</v>
      </c>
      <c r="H23" s="193">
        <f t="shared" si="7"/>
        <v>8.7660910394865621E-2</v>
      </c>
      <c r="I23" s="193">
        <f t="shared" si="7"/>
        <v>7.5726684013940074E-2</v>
      </c>
      <c r="J23" s="193">
        <f t="shared" si="7"/>
        <v>0.11813989188178281</v>
      </c>
      <c r="K23" s="194">
        <f t="shared" si="7"/>
        <v>0.2276940804434413</v>
      </c>
      <c r="L23" s="175"/>
      <c r="M23" s="194">
        <f>SUM(M20:M22)</f>
        <v>0.1047565265440812</v>
      </c>
      <c r="N23" s="194">
        <f>SUM(N20:N22)</f>
        <v>0.1047565265440812</v>
      </c>
    </row>
    <row r="26" spans="2:16" s="31" customFormat="1">
      <c r="B26" s="471"/>
      <c r="C26" s="367"/>
    </row>
    <row r="27" spans="2:16">
      <c r="B27" s="532" t="s">
        <v>215</v>
      </c>
      <c r="C27" s="425"/>
      <c r="D27" s="218"/>
      <c r="E27" s="218"/>
      <c r="F27" s="218"/>
      <c r="G27" s="218"/>
      <c r="H27" s="218"/>
      <c r="I27" s="218"/>
      <c r="J27" s="218"/>
      <c r="K27" s="218"/>
      <c r="L27" s="533"/>
      <c r="M27" s="218"/>
      <c r="N27" s="218"/>
      <c r="O27" s="218"/>
    </row>
    <row r="28" spans="2:16">
      <c r="B28" s="198"/>
      <c r="L28" s="49"/>
    </row>
    <row r="29" spans="2:16">
      <c r="B29" s="253" t="s">
        <v>214</v>
      </c>
      <c r="C29" s="255" t="s">
        <v>7</v>
      </c>
      <c r="D29" s="176">
        <f t="shared" ref="D29:K38" si="8">D48/D$66</f>
        <v>5.4126584927395964E-2</v>
      </c>
      <c r="E29" s="177">
        <f t="shared" si="8"/>
        <v>5.3831007973542601E-2</v>
      </c>
      <c r="F29" s="177">
        <f t="shared" si="8"/>
        <v>5.3534303842573634E-2</v>
      </c>
      <c r="G29" s="177">
        <f t="shared" si="8"/>
        <v>5.5711808096009799E-2</v>
      </c>
      <c r="H29" s="177">
        <f t="shared" si="8"/>
        <v>5.4993725185804448E-2</v>
      </c>
      <c r="I29" s="177">
        <f t="shared" si="8"/>
        <v>5.2279651324336283E-2</v>
      </c>
      <c r="J29" s="177">
        <f t="shared" si="8"/>
        <v>4.9190907209261031E-2</v>
      </c>
      <c r="K29" s="178">
        <f t="shared" si="8"/>
        <v>4.5513809889388156E-2</v>
      </c>
      <c r="L29" s="174"/>
      <c r="M29" s="509">
        <f>AVERAGE(D48:INDEX(D48:K48,0,MATCH('RFPR cover'!$C$7,$D$6:$K$6,0)))/AVERAGE($D$66:INDEX($D$66:$K$66,0,MATCH('RFPR cover'!$C$7,$D$6:$K$6,0)))</f>
        <v>5.2116059902514417E-2</v>
      </c>
      <c r="N29" s="509">
        <f>AVERAGE(D48:K48)/AVERAGE($D$66:$K$66)</f>
        <v>5.2116059902514417E-2</v>
      </c>
      <c r="P29" s="323"/>
    </row>
    <row r="30" spans="2:16">
      <c r="B30" s="253" t="str">
        <f t="shared" ref="B30:B37" si="9">B49</f>
        <v>Totex outperformance</v>
      </c>
      <c r="C30" s="255" t="s">
        <v>7</v>
      </c>
      <c r="D30" s="176">
        <f t="shared" si="8"/>
        <v>3.5974898843429597E-3</v>
      </c>
      <c r="E30" s="177">
        <f t="shared" si="8"/>
        <v>1.0914129344258337E-2</v>
      </c>
      <c r="F30" s="177">
        <f t="shared" si="8"/>
        <v>4.1083744381361018E-3</v>
      </c>
      <c r="G30" s="177">
        <f t="shared" si="8"/>
        <v>2.7260584247084278E-2</v>
      </c>
      <c r="H30" s="177">
        <f t="shared" si="8"/>
        <v>1.8108931287042374E-2</v>
      </c>
      <c r="I30" s="177">
        <f t="shared" si="8"/>
        <v>1.7912196341579398E-2</v>
      </c>
      <c r="J30" s="177">
        <f t="shared" si="8"/>
        <v>2.0113820821952125E-2</v>
      </c>
      <c r="K30" s="178">
        <f t="shared" si="8"/>
        <v>2.9550473151554325E-2</v>
      </c>
      <c r="L30" s="174"/>
      <c r="M30" s="178">
        <f>AVERAGE(D49:INDEX(D49:K49,0,MATCH('RFPR cover'!$C$7,$D$6:$K$6,0)))/AVERAGE($D$66:INDEX($D$66:$K$66,0,MATCH('RFPR cover'!$C$7,$D$6:$K$6,0)))</f>
        <v>1.6906352432472717E-2</v>
      </c>
      <c r="N30" s="178">
        <f t="shared" ref="N30:N38" si="10">AVERAGE(D49:K49)/AVERAGE($D$66:$K$66)</f>
        <v>1.6906352432472717E-2</v>
      </c>
    </row>
    <row r="31" spans="2:16">
      <c r="B31" s="253" t="str">
        <f t="shared" si="9"/>
        <v>IQI Reward</v>
      </c>
      <c r="C31" s="255" t="s">
        <v>7</v>
      </c>
      <c r="D31" s="176">
        <f t="shared" si="8"/>
        <v>2.6679891604274096E-3</v>
      </c>
      <c r="E31" s="177">
        <f t="shared" si="8"/>
        <v>2.496924598534192E-3</v>
      </c>
      <c r="F31" s="177">
        <f t="shared" si="8"/>
        <v>2.46239207490966E-3</v>
      </c>
      <c r="G31" s="177">
        <f t="shared" si="8"/>
        <v>2.5443281902864591E-3</v>
      </c>
      <c r="H31" s="177">
        <f t="shared" si="8"/>
        <v>2.483990549325011E-3</v>
      </c>
      <c r="I31" s="177">
        <f t="shared" si="8"/>
        <v>2.3024679820815275E-3</v>
      </c>
      <c r="J31" s="177">
        <f t="shared" si="8"/>
        <v>2.2002671347089672E-3</v>
      </c>
      <c r="K31" s="178">
        <f t="shared" si="8"/>
        <v>1.9301033367492605E-3</v>
      </c>
      <c r="L31" s="174"/>
      <c r="M31" s="178">
        <f>AVERAGE(D50:INDEX(D50:K50,0,MATCH('RFPR cover'!$C$7,$D$6:$K$6,0)))/AVERAGE($D$66:INDEX($D$66:$K$66,0,MATCH('RFPR cover'!$C$7,$D$6:$K$6,0)))</f>
        <v>2.3672150580616312E-3</v>
      </c>
      <c r="N31" s="178">
        <f t="shared" si="10"/>
        <v>2.3672150580616312E-3</v>
      </c>
    </row>
    <row r="32" spans="2:16">
      <c r="B32" s="253" t="str">
        <f t="shared" si="9"/>
        <v>Broad measure of customer service</v>
      </c>
      <c r="C32" s="255" t="s">
        <v>7</v>
      </c>
      <c r="D32" s="176">
        <f t="shared" si="8"/>
        <v>-2.8704839444812188E-4</v>
      </c>
      <c r="E32" s="177">
        <f t="shared" si="8"/>
        <v>9.1337781294737147E-4</v>
      </c>
      <c r="F32" s="177">
        <f t="shared" si="8"/>
        <v>2.4951497464497556E-3</v>
      </c>
      <c r="G32" s="177">
        <f t="shared" si="8"/>
        <v>3.3908404102777085E-3</v>
      </c>
      <c r="H32" s="177">
        <f t="shared" si="8"/>
        <v>4.1605968458931731E-3</v>
      </c>
      <c r="I32" s="177">
        <f t="shared" si="8"/>
        <v>4.1061622473442996E-3</v>
      </c>
      <c r="J32" s="177">
        <f t="shared" si="8"/>
        <v>3.6346285993247669E-3</v>
      </c>
      <c r="K32" s="178">
        <f t="shared" si="8"/>
        <v>3.922456575019214E-3</v>
      </c>
      <c r="L32" s="174"/>
      <c r="M32" s="178">
        <f>AVERAGE(D51:INDEX(D51:K51,0,MATCH('RFPR cover'!$C$7,$D$6:$K$6,0)))/AVERAGE($D$66:INDEX($D$66:$K$66,0,MATCH('RFPR cover'!$C$7,$D$6:$K$6,0)))</f>
        <v>2.8549434016394318E-3</v>
      </c>
      <c r="N32" s="178">
        <f t="shared" si="10"/>
        <v>2.8549434016394318E-3</v>
      </c>
    </row>
    <row r="33" spans="2:15">
      <c r="B33" s="253" t="str">
        <f t="shared" si="9"/>
        <v>Interruptions-related quality of service</v>
      </c>
      <c r="C33" s="255" t="s">
        <v>7</v>
      </c>
      <c r="D33" s="176">
        <f t="shared" si="8"/>
        <v>1.7712234578557733E-2</v>
      </c>
      <c r="E33" s="177">
        <f t="shared" si="8"/>
        <v>1.6207900122412945E-2</v>
      </c>
      <c r="F33" s="177">
        <f t="shared" si="8"/>
        <v>1.313348644134435E-2</v>
      </c>
      <c r="G33" s="177">
        <f t="shared" si="8"/>
        <v>1.3828680682172136E-2</v>
      </c>
      <c r="H33" s="177">
        <f t="shared" si="8"/>
        <v>1.8548461498736339E-2</v>
      </c>
      <c r="I33" s="177">
        <f t="shared" si="8"/>
        <v>1.5685390984696911E-2</v>
      </c>
      <c r="J33" s="177">
        <f t="shared" si="8"/>
        <v>1.5601913356145592E-2</v>
      </c>
      <c r="K33" s="178">
        <f t="shared" si="8"/>
        <v>1.321865149197529E-2</v>
      </c>
      <c r="L33" s="174"/>
      <c r="M33" s="178">
        <f>AVERAGE(D52:INDEX(D52:K52,0,MATCH('RFPR cover'!$C$7,$D$6:$K$6,0)))/AVERAGE($D$66:INDEX($D$66:$K$66,0,MATCH('RFPR cover'!$C$7,$D$6:$K$6,0)))</f>
        <v>1.5423213171104838E-2</v>
      </c>
      <c r="N33" s="178">
        <f t="shared" si="10"/>
        <v>1.5423213171104838E-2</v>
      </c>
    </row>
    <row r="34" spans="2:15">
      <c r="B34" s="253" t="str">
        <f t="shared" si="9"/>
        <v>Incentive on connections engagement</v>
      </c>
      <c r="C34" s="255" t="s">
        <v>7</v>
      </c>
      <c r="D34" s="176">
        <f t="shared" si="8"/>
        <v>0</v>
      </c>
      <c r="E34" s="177">
        <f t="shared" si="8"/>
        <v>0</v>
      </c>
      <c r="F34" s="177">
        <f t="shared" si="8"/>
        <v>0</v>
      </c>
      <c r="G34" s="177">
        <f t="shared" si="8"/>
        <v>0</v>
      </c>
      <c r="H34" s="177">
        <f t="shared" si="8"/>
        <v>0</v>
      </c>
      <c r="I34" s="177">
        <f t="shared" si="8"/>
        <v>0</v>
      </c>
      <c r="J34" s="177">
        <f t="shared" si="8"/>
        <v>0</v>
      </c>
      <c r="K34" s="178">
        <f t="shared" si="8"/>
        <v>0</v>
      </c>
      <c r="L34" s="174"/>
      <c r="M34" s="178">
        <f>AVERAGE(D53:INDEX(D53:K53,0,MATCH('RFPR cover'!$C$7,$D$6:$K$6,0)))/AVERAGE($D$66:INDEX($D$66:$K$66,0,MATCH('RFPR cover'!$C$7,$D$6:$K$6,0)))</f>
        <v>0</v>
      </c>
      <c r="N34" s="178">
        <f t="shared" si="10"/>
        <v>0</v>
      </c>
    </row>
    <row r="35" spans="2:15">
      <c r="B35" s="253" t="str">
        <f t="shared" si="9"/>
        <v>Time to Connect Incentive</v>
      </c>
      <c r="C35" s="255" t="s">
        <v>7</v>
      </c>
      <c r="D35" s="176">
        <f t="shared" si="8"/>
        <v>1.6649632172275838E-3</v>
      </c>
      <c r="E35" s="177">
        <f t="shared" si="8"/>
        <v>1.6472020120711127E-3</v>
      </c>
      <c r="F35" s="177">
        <f t="shared" si="8"/>
        <v>1.6293479099996149E-3</v>
      </c>
      <c r="G35" s="177">
        <f t="shared" si="8"/>
        <v>1.648337851737027E-3</v>
      </c>
      <c r="H35" s="177">
        <f t="shared" si="8"/>
        <v>1.6360794101974059E-3</v>
      </c>
      <c r="I35" s="177">
        <f t="shared" si="8"/>
        <v>1.5341433081095877E-3</v>
      </c>
      <c r="J35" s="177">
        <f t="shared" si="8"/>
        <v>1.4205600828749226E-3</v>
      </c>
      <c r="K35" s="178">
        <f t="shared" si="8"/>
        <v>1.3030777691196412E-3</v>
      </c>
      <c r="L35" s="174"/>
      <c r="M35" s="178">
        <f>AVERAGE(D54:INDEX(D54:K54,0,MATCH('RFPR cover'!$C$7,$D$6:$K$6,0)))/AVERAGE($D$66:INDEX($D$66:$K$66,0,MATCH('RFPR cover'!$C$7,$D$6:$K$6,0)))</f>
        <v>1.5494700559052052E-3</v>
      </c>
      <c r="N35" s="178">
        <f t="shared" si="10"/>
        <v>1.5494700559052052E-3</v>
      </c>
    </row>
    <row r="36" spans="2:15">
      <c r="B36" s="253" t="str">
        <f t="shared" si="9"/>
        <v>Losses discretionary reward scheme</v>
      </c>
      <c r="C36" s="255" t="s">
        <v>7</v>
      </c>
      <c r="D36" s="176">
        <f t="shared" si="8"/>
        <v>0</v>
      </c>
      <c r="E36" s="177">
        <f t="shared" si="8"/>
        <v>9.5400449865785269E-4</v>
      </c>
      <c r="F36" s="177">
        <f t="shared" si="8"/>
        <v>0</v>
      </c>
      <c r="G36" s="177">
        <f t="shared" si="8"/>
        <v>0</v>
      </c>
      <c r="H36" s="177">
        <f t="shared" si="8"/>
        <v>0</v>
      </c>
      <c r="I36" s="177">
        <f t="shared" si="8"/>
        <v>0</v>
      </c>
      <c r="J36" s="177">
        <f t="shared" si="8"/>
        <v>0</v>
      </c>
      <c r="K36" s="178">
        <f t="shared" si="8"/>
        <v>0</v>
      </c>
      <c r="L36" s="174"/>
      <c r="M36" s="178">
        <f>AVERAGE(D55:INDEX(D55:K55,0,MATCH('RFPR cover'!$C$7,$D$6:$K$6,0)))/AVERAGE($D$66:INDEX($D$66:$K$66,0,MATCH('RFPR cover'!$C$7,$D$6:$K$6,0)))</f>
        <v>1.1272268406174626E-4</v>
      </c>
      <c r="N36" s="178">
        <f t="shared" si="10"/>
        <v>1.1272268406174626E-4</v>
      </c>
    </row>
    <row r="37" spans="2:15">
      <c r="B37" s="253" t="str">
        <f t="shared" si="9"/>
        <v xml:space="preserve">Network Innovation </v>
      </c>
      <c r="C37" s="255" t="s">
        <v>7</v>
      </c>
      <c r="D37" s="176">
        <f t="shared" si="8"/>
        <v>2.2376789936864438E-3</v>
      </c>
      <c r="E37" s="177">
        <f t="shared" si="8"/>
        <v>-6.9966301280399267E-4</v>
      </c>
      <c r="F37" s="177">
        <f t="shared" si="8"/>
        <v>-6.2017782506331321E-4</v>
      </c>
      <c r="G37" s="177">
        <f t="shared" si="8"/>
        <v>-6.5432262478158838E-4</v>
      </c>
      <c r="H37" s="177">
        <f t="shared" si="8"/>
        <v>1.119058182789164E-3</v>
      </c>
      <c r="I37" s="177">
        <f t="shared" si="8"/>
        <v>1.4757778499778723E-4</v>
      </c>
      <c r="J37" s="177">
        <f t="shared" si="8"/>
        <v>-4.905528098240957E-4</v>
      </c>
      <c r="K37" s="178">
        <f t="shared" si="8"/>
        <v>-5.584121985544397E-4</v>
      </c>
      <c r="L37" s="174"/>
      <c r="M37" s="178">
        <f>AVERAGE(D56:INDEX(D56:K56,0,MATCH('RFPR cover'!$C$7,$D$6:$K$6,0)))/AVERAGE($D$66:INDEX($D$66:$K$66,0,MATCH('RFPR cover'!$C$7,$D$6:$K$6,0)))</f>
        <v>2.9884858969323896E-5</v>
      </c>
      <c r="N37" s="178">
        <f t="shared" si="10"/>
        <v>2.9884858969323896E-5</v>
      </c>
    </row>
    <row r="38" spans="2:15">
      <c r="B38" s="253" t="str">
        <f>B57</f>
        <v>Penalties and fines</v>
      </c>
      <c r="C38" s="255" t="s">
        <v>7</v>
      </c>
      <c r="D38" s="186">
        <f t="shared" si="8"/>
        <v>-2.4986373494241808E-4</v>
      </c>
      <c r="E38" s="187">
        <f t="shared" si="8"/>
        <v>-2.5525820093696592E-4</v>
      </c>
      <c r="F38" s="187">
        <f t="shared" si="8"/>
        <v>-2.7698253612379217E-4</v>
      </c>
      <c r="G38" s="187">
        <f t="shared" si="8"/>
        <v>-2.877685631555454E-4</v>
      </c>
      <c r="H38" s="187">
        <f t="shared" si="8"/>
        <v>-3.2744056570589095E-4</v>
      </c>
      <c r="I38" s="187">
        <f t="shared" si="8"/>
        <v>-3.1274594069252639E-4</v>
      </c>
      <c r="J38" s="187">
        <f t="shared" si="8"/>
        <v>-2.1192843279176691E-3</v>
      </c>
      <c r="K38" s="188">
        <f t="shared" si="8"/>
        <v>-4.1535886632726774E-4</v>
      </c>
      <c r="L38" s="174"/>
      <c r="M38" s="188">
        <f>AVERAGE(D57:INDEX(D57:K57,0,MATCH('RFPR cover'!$C$7,$D$6:$K$6,0)))/AVERAGE($D$66:INDEX($D$66:$K$66,0,MATCH('RFPR cover'!$C$7,$D$6:$K$6,0)))</f>
        <v>-5.5440052014834207E-4</v>
      </c>
      <c r="N38" s="188">
        <f t="shared" si="10"/>
        <v>-5.5440052014834207E-4</v>
      </c>
    </row>
    <row r="39" spans="2:15">
      <c r="B39" s="254" t="str">
        <f>B58</f>
        <v>RoRE - Operational performance</v>
      </c>
      <c r="C39" s="255" t="s">
        <v>7</v>
      </c>
      <c r="D39" s="189">
        <f t="shared" ref="D39:K39" si="11">SUM(D29:D38)</f>
        <v>8.147002863224756E-2</v>
      </c>
      <c r="E39" s="190">
        <f t="shared" si="11"/>
        <v>8.6009625148683447E-2</v>
      </c>
      <c r="F39" s="190">
        <f t="shared" si="11"/>
        <v>7.6465894092226025E-2</v>
      </c>
      <c r="G39" s="190">
        <f t="shared" si="11"/>
        <v>0.10344248828963028</v>
      </c>
      <c r="H39" s="190">
        <f t="shared" si="11"/>
        <v>0.10072340239408202</v>
      </c>
      <c r="I39" s="190">
        <f t="shared" si="11"/>
        <v>9.3654844032453263E-2</v>
      </c>
      <c r="J39" s="190">
        <f t="shared" si="11"/>
        <v>8.9552260066525641E-2</v>
      </c>
      <c r="K39" s="191">
        <f t="shared" si="11"/>
        <v>9.446480114892418E-2</v>
      </c>
      <c r="L39" s="175"/>
      <c r="M39" s="191">
        <f>SUM(M29:M38)</f>
        <v>9.0805461044580968E-2</v>
      </c>
      <c r="N39" s="191">
        <f>SUM(N29:N38)</f>
        <v>9.0805461044580968E-2</v>
      </c>
    </row>
    <row r="40" spans="2:15">
      <c r="B40" s="253" t="s">
        <v>443</v>
      </c>
      <c r="C40" s="255" t="s">
        <v>7</v>
      </c>
      <c r="D40" s="176">
        <f>(D59+D60)/D$66</f>
        <v>-1.4670418402947492E-2</v>
      </c>
      <c r="E40" s="177">
        <f t="shared" ref="E40:K40" si="12">(E59+E60)/E$66</f>
        <v>-1.2701955514206709E-2</v>
      </c>
      <c r="F40" s="177">
        <f t="shared" si="12"/>
        <v>-4.5391059268448785E-3</v>
      </c>
      <c r="G40" s="177">
        <f t="shared" si="12"/>
        <v>-8.4605740883891955E-3</v>
      </c>
      <c r="H40" s="177">
        <f t="shared" si="12"/>
        <v>-1.2195434610329677E-2</v>
      </c>
      <c r="I40" s="177">
        <f t="shared" si="12"/>
        <v>-2.6786975094482086E-2</v>
      </c>
      <c r="J40" s="177">
        <f t="shared" si="12"/>
        <v>-6.3765855739362273E-4</v>
      </c>
      <c r="K40" s="178">
        <f t="shared" si="12"/>
        <v>4.0963715439044056E-2</v>
      </c>
      <c r="L40" s="174"/>
      <c r="M40" s="178">
        <f>(AVERAGE(D59:INDEX(D59:K59,0,MATCH('RFPR cover'!$C$7,$D$6:$K$6,0)))+AVERAGE(D60:INDEX(D60:K60,0,MATCH('RFPR cover'!$C$7,$D$6:$K$6,0))))/AVERAGE($D$66:INDEX($D$66:$K$66,0,MATCH('RFPR cover'!$C$7,$D$6:$K$6,0)))</f>
        <v>-3.5229058602306291E-3</v>
      </c>
      <c r="N40" s="178">
        <f>(AVERAGE(D59:K59)+AVERAGE(D60:K60))/AVERAGE($D$66:$K$66)</f>
        <v>-3.5229058602306291E-3</v>
      </c>
    </row>
    <row r="41" spans="2:15">
      <c r="B41" s="253" t="s">
        <v>444</v>
      </c>
      <c r="C41" s="255" t="s">
        <v>7</v>
      </c>
      <c r="D41" s="176">
        <f>(D61+D62)/D$66</f>
        <v>-1.0137648650530726E-2</v>
      </c>
      <c r="E41" s="177">
        <f t="shared" ref="E41:K41" si="13">(E61+E62)/E$66</f>
        <v>-2.4316225543736113E-3</v>
      </c>
      <c r="F41" s="177">
        <f t="shared" si="13"/>
        <v>7.3026173713358683E-3</v>
      </c>
      <c r="G41" s="177">
        <f t="shared" si="13"/>
        <v>-2.6524310167680572E-3</v>
      </c>
      <c r="H41" s="177">
        <f t="shared" si="13"/>
        <v>-6.6055107887234999E-3</v>
      </c>
      <c r="I41" s="177">
        <f t="shared" si="13"/>
        <v>2.7568040723821305E-3</v>
      </c>
      <c r="J41" s="177">
        <f t="shared" si="13"/>
        <v>8.4666044721682949E-3</v>
      </c>
      <c r="K41" s="178">
        <f t="shared" si="13"/>
        <v>2.5090747115986977E-2</v>
      </c>
      <c r="L41" s="174"/>
      <c r="M41" s="178">
        <f>(AVERAGE(D61:INDEX(D61:K61,0,MATCH('RFPR cover'!$C$7,$D$6:$K$6,0)))+AVERAGE(D62:INDEX(D62:K62,0,MATCH('RFPR cover'!$C$7,$D$6:$K$6,0))))/AVERAGE($D$66:INDEX($D$66:$K$66,0,MATCH('RFPR cover'!$C$7,$D$6:$K$6,0)))</f>
        <v>3.5588588452251622E-3</v>
      </c>
      <c r="N41" s="178">
        <f>(AVERAGE(D61:K61)+AVERAGE(D62:K62))/AVERAGE($D$66:$K$66)</f>
        <v>3.5588588452251622E-3</v>
      </c>
    </row>
    <row r="42" spans="2:15">
      <c r="B42" s="254" t="str">
        <f>B63</f>
        <v>RoRE - including financing and tax</v>
      </c>
      <c r="C42" s="255" t="s">
        <v>7</v>
      </c>
      <c r="D42" s="192">
        <f>SUM(D39:D41)</f>
        <v>5.6661961578769335E-2</v>
      </c>
      <c r="E42" s="193">
        <f t="shared" ref="E42:K42" si="14">SUM(E39:E41)</f>
        <v>7.087604708010313E-2</v>
      </c>
      <c r="F42" s="193">
        <f t="shared" si="14"/>
        <v>7.9229405536717007E-2</v>
      </c>
      <c r="G42" s="193">
        <f t="shared" si="14"/>
        <v>9.2329483184473024E-2</v>
      </c>
      <c r="H42" s="193">
        <f t="shared" si="14"/>
        <v>8.1922456995028842E-2</v>
      </c>
      <c r="I42" s="193">
        <f t="shared" si="14"/>
        <v>6.96246730103533E-2</v>
      </c>
      <c r="J42" s="193">
        <f t="shared" si="14"/>
        <v>9.7381205981300317E-2</v>
      </c>
      <c r="K42" s="194">
        <f t="shared" si="14"/>
        <v>0.1605192637039552</v>
      </c>
      <c r="L42" s="175"/>
      <c r="M42" s="194">
        <f>SUM(M39:M41)</f>
        <v>9.0841414029575504E-2</v>
      </c>
      <c r="N42" s="194">
        <f>SUM(N39:N41)</f>
        <v>9.0841414029575504E-2</v>
      </c>
    </row>
    <row r="43" spans="2:15" s="31" customFormat="1">
      <c r="B43" s="472"/>
      <c r="C43" s="473"/>
      <c r="D43" s="474"/>
      <c r="E43" s="474"/>
      <c r="F43" s="474"/>
      <c r="G43" s="474"/>
      <c r="H43" s="474"/>
      <c r="I43" s="474"/>
      <c r="J43" s="474"/>
      <c r="K43" s="474"/>
      <c r="L43" s="475"/>
      <c r="M43" s="474"/>
      <c r="N43" s="474"/>
    </row>
    <row r="44" spans="2:15" s="31" customFormat="1">
      <c r="B44" s="472"/>
      <c r="C44" s="473"/>
      <c r="D44" s="474"/>
      <c r="E44" s="474"/>
      <c r="F44" s="474"/>
      <c r="G44" s="474"/>
      <c r="H44" s="474"/>
      <c r="I44" s="474"/>
      <c r="J44" s="474"/>
      <c r="K44" s="474"/>
      <c r="L44" s="475"/>
      <c r="M44" s="474"/>
      <c r="N44" s="474"/>
    </row>
    <row r="45" spans="2:15" s="31" customFormat="1">
      <c r="B45" s="526" t="s">
        <v>379</v>
      </c>
      <c r="C45" s="527"/>
      <c r="D45" s="528"/>
      <c r="E45" s="528"/>
      <c r="F45" s="528"/>
      <c r="G45" s="528"/>
      <c r="H45" s="528"/>
      <c r="I45" s="528"/>
      <c r="J45" s="528"/>
      <c r="K45" s="528"/>
      <c r="L45" s="529"/>
      <c r="M45" s="528"/>
      <c r="N45" s="528"/>
      <c r="O45" s="218"/>
    </row>
    <row r="46" spans="2:15" s="31" customFormat="1">
      <c r="B46" s="531" t="str">
        <f>"Input values provided in "&amp;'RFPR cover'!C14&amp;" prices"</f>
        <v>Input values provided in £m 12/13 prices</v>
      </c>
      <c r="C46" s="530"/>
      <c r="D46" s="530"/>
      <c r="E46" s="530"/>
      <c r="F46" s="530"/>
      <c r="G46" s="530"/>
      <c r="H46" s="530"/>
      <c r="I46" s="530"/>
      <c r="J46" s="530"/>
      <c r="K46" s="530"/>
      <c r="L46" s="530"/>
      <c r="M46" s="530"/>
      <c r="N46" s="530"/>
      <c r="O46" s="530"/>
    </row>
    <row r="48" spans="2:15">
      <c r="B48" s="248" t="s">
        <v>227</v>
      </c>
      <c r="C48" s="343" t="str">
        <f>'RFPR cover'!$C$14</f>
        <v>£m 12/13</v>
      </c>
      <c r="D48" s="179">
        <f>'R9 - RAV'!D50</f>
        <v>31.598920627828786</v>
      </c>
      <c r="E48" s="180">
        <f>'R9 - RAV'!E50</f>
        <v>31.765223310099074</v>
      </c>
      <c r="F48" s="180">
        <f>'R9 - RAV'!F50</f>
        <v>31.936299801675791</v>
      </c>
      <c r="G48" s="180">
        <f>'R9 - RAV'!G50</f>
        <v>32.203578795065546</v>
      </c>
      <c r="H48" s="180">
        <f>'R9 - RAV'!H50</f>
        <v>32.48874330098738</v>
      </c>
      <c r="I48" s="180">
        <f>'R9 - RAV'!I50</f>
        <v>32.892262403521848</v>
      </c>
      <c r="J48" s="180">
        <f>'R9 - RAV'!J50</f>
        <v>33.438597840655291</v>
      </c>
      <c r="K48" s="181">
        <f>'R9 - RAV'!K50</f>
        <v>33.949948545567949</v>
      </c>
      <c r="M48" s="96">
        <f>SUM(D48:INDEX(D48:K48,0,MATCH('RFPR cover'!$C$7,$D$6:$K$6,0)))</f>
        <v>260.27357462540164</v>
      </c>
      <c r="N48" s="96">
        <f>SUM(D48:K48)</f>
        <v>260.27357462540164</v>
      </c>
    </row>
    <row r="49" spans="2:14">
      <c r="B49" s="248" t="s">
        <v>102</v>
      </c>
      <c r="C49" s="343" t="str">
        <f>'RFPR cover'!$C$14</f>
        <v>£m 12/13</v>
      </c>
      <c r="D49" s="252">
        <f>'R4 - Totex'!D35+'R4 - Totex'!D63</f>
        <v>2.1002026539685321</v>
      </c>
      <c r="E49" s="252">
        <f>'R4 - Totex'!E35+'R4 - Totex'!E63</f>
        <v>6.4403355780754801</v>
      </c>
      <c r="F49" s="252">
        <f>'R4 - Totex'!F35+'R4 - Totex'!F63</f>
        <v>2.450882300434678</v>
      </c>
      <c r="G49" s="252">
        <f>'R4 - Totex'!G35+'R4 - Totex'!G63</f>
        <v>15.75767153863702</v>
      </c>
      <c r="H49" s="252">
        <f>'R4 - Totex'!H35+'R4 - Totex'!H63</f>
        <v>10.698246355418858</v>
      </c>
      <c r="I49" s="252">
        <f>'R4 - Totex'!I35+'R4 - Totex'!I63</f>
        <v>11.269636414280608</v>
      </c>
      <c r="J49" s="252">
        <f>'R4 - Totex'!J35+'R4 - Totex'!J63</f>
        <v>13.672810762425449</v>
      </c>
      <c r="K49" s="252">
        <f>'R4 - Totex'!K35+'R4 - Totex'!K63</f>
        <v>22.042475578964172</v>
      </c>
      <c r="M49" s="96">
        <f>SUM(D49:INDEX(D49:K49,0,MATCH('RFPR cover'!$C$7,$D$6:$K$6,0)))</f>
        <v>84.432261182204797</v>
      </c>
      <c r="N49" s="96">
        <f>SUM(D49:K49)</f>
        <v>84.432261182204797</v>
      </c>
    </row>
    <row r="50" spans="2:14">
      <c r="B50" s="250" t="s">
        <v>110</v>
      </c>
      <c r="C50" s="343" t="str">
        <f>'RFPR cover'!$C$14</f>
        <v>£m 12/13</v>
      </c>
      <c r="D50" s="243">
        <f>'R4 - Totex'!D79</f>
        <v>1.5575632164737283</v>
      </c>
      <c r="E50" s="182">
        <f>'R4 - Totex'!E79</f>
        <v>1.4734141240658321</v>
      </c>
      <c r="F50" s="182">
        <f>'R4 - Totex'!F79</f>
        <v>1.4689588897025405</v>
      </c>
      <c r="G50" s="182">
        <f>'R4 - Totex'!G79</f>
        <v>1.4707200530126929</v>
      </c>
      <c r="H50" s="182">
        <f>'R4 - Totex'!H79</f>
        <v>1.4674716260161711</v>
      </c>
      <c r="I50" s="182">
        <f>'R4 - Totex'!I79</f>
        <v>1.4486206224386007</v>
      </c>
      <c r="J50" s="182">
        <f>'R4 - Totex'!J79</f>
        <v>1.4956798325868756</v>
      </c>
      <c r="K50" s="183">
        <f>'R4 - Totex'!K79</f>
        <v>1.4397148718051931</v>
      </c>
      <c r="M50" s="96">
        <f>SUM(D50:INDEX(D50:K50,0,MATCH('RFPR cover'!$C$7,$D$6:$K$6,0)))</f>
        <v>11.822143236101635</v>
      </c>
      <c r="N50" s="96">
        <f t="shared" ref="N50:N57" si="15">SUM(D50:K50)</f>
        <v>11.822143236101635</v>
      </c>
    </row>
    <row r="51" spans="2:14">
      <c r="B51" s="251" t="str">
        <f>'R5 - Output Incentives'!B39</f>
        <v>Broad measure of customer service</v>
      </c>
      <c r="C51" s="343" t="str">
        <f>'RFPR cover'!$C$14</f>
        <v>£m 12/13</v>
      </c>
      <c r="D51" s="243">
        <f>'R5 - Output Incentives'!D39</f>
        <v>-0.16757789992992769</v>
      </c>
      <c r="E51" s="182">
        <f>'R5 - Output Incentives'!E39</f>
        <v>0.53897653577326798</v>
      </c>
      <c r="F51" s="182">
        <f>'R5 - Output Incentives'!F39</f>
        <v>1.488500730055704</v>
      </c>
      <c r="G51" s="182">
        <f>'R5 - Output Incentives'!G39</f>
        <v>1.9600368407661053</v>
      </c>
      <c r="H51" s="182">
        <f>'R5 - Output Incentives'!H39</f>
        <v>2.4579633848847395</v>
      </c>
      <c r="I51" s="182">
        <f>'R5 - Output Incentives'!I39</f>
        <v>2.5834328020510826</v>
      </c>
      <c r="J51" s="182">
        <f>'R5 - Output Incentives'!J39</f>
        <v>2.4707184910402247</v>
      </c>
      <c r="K51" s="183">
        <f>'R5 - Output Incentives'!K39</f>
        <v>2.925863583333546</v>
      </c>
      <c r="M51" s="96">
        <f>SUM(D51:INDEX(D51:K51,0,MATCH('RFPR cover'!$C$7,$D$6:$K$6,0)))</f>
        <v>14.257914467974743</v>
      </c>
      <c r="N51" s="96">
        <f t="shared" si="15"/>
        <v>14.257914467974743</v>
      </c>
    </row>
    <row r="52" spans="2:14">
      <c r="B52" s="251" t="str">
        <f>'R5 - Output Incentives'!B40</f>
        <v>Interruptions-related quality of service</v>
      </c>
      <c r="C52" s="343" t="str">
        <f>'RFPR cover'!$C$14</f>
        <v>£m 12/13</v>
      </c>
      <c r="D52" s="243">
        <f>'R5 - Output Incentives'!D40</f>
        <v>10.34034375787944</v>
      </c>
      <c r="E52" s="182">
        <f>'R5 - Output Incentives'!E40</f>
        <v>9.5641450189688388</v>
      </c>
      <c r="F52" s="182">
        <f>'R5 - Output Incentives'!F40</f>
        <v>7.8348821283906913</v>
      </c>
      <c r="G52" s="182">
        <f>'R5 - Output Incentives'!G40</f>
        <v>7.9935120255417971</v>
      </c>
      <c r="H52" s="182">
        <f>'R5 - Output Incentives'!H40</f>
        <v>10.957908420000001</v>
      </c>
      <c r="I52" s="182">
        <f>'R5 - Output Incentives'!I40</f>
        <v>9.8686196847361369</v>
      </c>
      <c r="J52" s="182">
        <f>'R5 - Output Incentives'!J40</f>
        <v>10.605742724799368</v>
      </c>
      <c r="K52" s="183">
        <f>'R5 - Output Incentives'!K40</f>
        <v>9.8601400121194942</v>
      </c>
      <c r="M52" s="96">
        <f>SUM(D52:INDEX(D52:K52,0,MATCH('RFPR cover'!$C$7,$D$6:$K$6,0)))</f>
        <v>77.025293772435759</v>
      </c>
      <c r="N52" s="96">
        <f t="shared" si="15"/>
        <v>77.025293772435759</v>
      </c>
    </row>
    <row r="53" spans="2:14">
      <c r="B53" s="251" t="str">
        <f>'R5 - Output Incentives'!B41</f>
        <v>Incentive on connections engagement</v>
      </c>
      <c r="C53" s="343" t="str">
        <f>'RFPR cover'!$C$14</f>
        <v>£m 12/13</v>
      </c>
      <c r="D53" s="243">
        <f>'R5 - Output Incentives'!D41</f>
        <v>0</v>
      </c>
      <c r="E53" s="182">
        <f>'R5 - Output Incentives'!E41</f>
        <v>0</v>
      </c>
      <c r="F53" s="182">
        <f>'R5 - Output Incentives'!F41</f>
        <v>0</v>
      </c>
      <c r="G53" s="182">
        <f>'R5 - Output Incentives'!G41</f>
        <v>0</v>
      </c>
      <c r="H53" s="182">
        <f>'R5 - Output Incentives'!H41</f>
        <v>0</v>
      </c>
      <c r="I53" s="182">
        <f>'R5 - Output Incentives'!I41</f>
        <v>0</v>
      </c>
      <c r="J53" s="182">
        <f>'R5 - Output Incentives'!J41</f>
        <v>0</v>
      </c>
      <c r="K53" s="183">
        <f>'R5 - Output Incentives'!K41</f>
        <v>0</v>
      </c>
      <c r="M53" s="96">
        <f>SUM(D53:INDEX(D53:K53,0,MATCH('RFPR cover'!$C$7,$D$6:$K$6,0)))</f>
        <v>0</v>
      </c>
      <c r="N53" s="96">
        <f t="shared" si="15"/>
        <v>0</v>
      </c>
    </row>
    <row r="54" spans="2:14">
      <c r="B54" s="251" t="str">
        <f>'R5 - Output Incentives'!B42</f>
        <v>Time to Connect Incentive</v>
      </c>
      <c r="C54" s="343" t="str">
        <f>'RFPR cover'!$C$14</f>
        <v>£m 12/13</v>
      </c>
      <c r="D54" s="243">
        <f>'R5 - Output Incentives'!D42</f>
        <v>0.97199999999999998</v>
      </c>
      <c r="E54" s="182">
        <f>'R5 - Output Incentives'!E42</f>
        <v>0.97199999999999998</v>
      </c>
      <c r="F54" s="182">
        <f>'R5 - Output Incentives'!F42</f>
        <v>0.97199999999999998</v>
      </c>
      <c r="G54" s="182">
        <f>'R5 - Output Incentives'!G42</f>
        <v>0.95280299999999996</v>
      </c>
      <c r="H54" s="182">
        <f>'R5 - Output Incentives'!H42</f>
        <v>0.96654961631250003</v>
      </c>
      <c r="I54" s="182">
        <f>'R5 - Output Incentives'!I42</f>
        <v>0.96522151499999997</v>
      </c>
      <c r="J54" s="182">
        <f>'R5 - Output Incentives'!J42</f>
        <v>0.96565686657633987</v>
      </c>
      <c r="K54" s="183">
        <f>'R5 - Output Incentives'!K42</f>
        <v>0.97199999999999998</v>
      </c>
      <c r="M54" s="96">
        <f>SUM(D54:INDEX(D54:K54,0,MATCH('RFPR cover'!$C$7,$D$6:$K$6,0)))</f>
        <v>7.7382309978888397</v>
      </c>
      <c r="N54" s="96">
        <f t="shared" si="15"/>
        <v>7.7382309978888397</v>
      </c>
    </row>
    <row r="55" spans="2:14">
      <c r="B55" s="251" t="str">
        <f>'R5 - Output Incentives'!B43</f>
        <v>Losses discretionary reward scheme</v>
      </c>
      <c r="C55" s="343" t="str">
        <f>'RFPR cover'!$C$14</f>
        <v>£m 12/13</v>
      </c>
      <c r="D55" s="243">
        <f>'R5 - Output Incentives'!D43</f>
        <v>0</v>
      </c>
      <c r="E55" s="182">
        <f>'R5 - Output Incentives'!E43</f>
        <v>0.56294999999999995</v>
      </c>
      <c r="F55" s="182">
        <f>'R5 - Output Incentives'!F43</f>
        <v>0</v>
      </c>
      <c r="G55" s="182">
        <f>'R5 - Output Incentives'!G43</f>
        <v>0</v>
      </c>
      <c r="H55" s="182">
        <f>'R5 - Output Incentives'!H43</f>
        <v>0</v>
      </c>
      <c r="I55" s="182">
        <f>'R5 - Output Incentives'!I43</f>
        <v>0</v>
      </c>
      <c r="J55" s="182">
        <f>'R5 - Output Incentives'!J43</f>
        <v>0</v>
      </c>
      <c r="K55" s="183">
        <f>'R5 - Output Incentives'!K43</f>
        <v>0</v>
      </c>
      <c r="M55" s="96">
        <f>SUM(D55:INDEX(D55:K55,0,MATCH('RFPR cover'!$C$7,$D$6:$K$6,0)))</f>
        <v>0.56294999999999995</v>
      </c>
      <c r="N55" s="96">
        <f t="shared" si="15"/>
        <v>0.56294999999999995</v>
      </c>
    </row>
    <row r="56" spans="2:14">
      <c r="B56" s="248" t="s">
        <v>485</v>
      </c>
      <c r="C56" s="343" t="str">
        <f>'RFPR cover'!$C$14</f>
        <v>£m 12/13</v>
      </c>
      <c r="D56" s="243">
        <f>-'R6 - Innovation'!D28</f>
        <v>1.3063495693826608</v>
      </c>
      <c r="E56" s="182">
        <f>-'R6 - Innovation'!E28</f>
        <v>-0.41286523660227348</v>
      </c>
      <c r="F56" s="182">
        <f>-'R6 - Innovation'!F28</f>
        <v>-0.36997184104264319</v>
      </c>
      <c r="G56" s="182">
        <f>-'R6 - Innovation'!G28</f>
        <v>-0.37822377202755297</v>
      </c>
      <c r="H56" s="182">
        <f>-'R6 - Innovation'!H28</f>
        <v>0.66110804308436555</v>
      </c>
      <c r="I56" s="182">
        <f>-'R6 - Innovation'!I28</f>
        <v>9.285003067375322E-2</v>
      </c>
      <c r="J56" s="182">
        <f>-'R6 - Innovation'!J28</f>
        <v>-0.33346402938921954</v>
      </c>
      <c r="K56" s="183">
        <f>-'R6 - Innovation'!K28</f>
        <v>-0.41653435417106005</v>
      </c>
      <c r="M56" s="96">
        <f>SUM(D56:INDEX(D56:K56,0,MATCH('RFPR cover'!$C$7,$D$6:$K$6,0)))</f>
        <v>0.14924840990803018</v>
      </c>
      <c r="N56" s="96">
        <f t="shared" si="15"/>
        <v>0.14924840990803018</v>
      </c>
    </row>
    <row r="57" spans="2:14">
      <c r="B57" s="248" t="s">
        <v>35</v>
      </c>
      <c r="C57" s="343" t="str">
        <f>'RFPR cover'!$C$14</f>
        <v>£m 12/13</v>
      </c>
      <c r="D57" s="244">
        <f>-'R13 - Other Activities '!D8</f>
        <v>-0.14586961913095095</v>
      </c>
      <c r="E57" s="244">
        <f>-'R13 - Other Activities '!E8</f>
        <v>-0.15062570922844373</v>
      </c>
      <c r="F57" s="244">
        <f>-'R13 - Other Activities '!F8</f>
        <v>-0.1652360576031853</v>
      </c>
      <c r="G57" s="244">
        <f>-'R13 - Other Activities '!G8</f>
        <v>-0.16634135410489645</v>
      </c>
      <c r="H57" s="244">
        <f>-'R13 - Other Activities '!H8</f>
        <v>-0.19344266004178251</v>
      </c>
      <c r="I57" s="244">
        <f>-'R13 - Other Activities '!I8</f>
        <v>-0.19676721795782667</v>
      </c>
      <c r="J57" s="244">
        <f>-'R13 - Other Activities '!J8</f>
        <v>-1.4406299938680671</v>
      </c>
      <c r="K57" s="244">
        <f>-'R13 - Other Activities '!K8</f>
        <v>-0.3098271090472699</v>
      </c>
      <c r="M57" s="96">
        <f>SUM(D57:INDEX(D57:K57,0,MATCH('RFPR cover'!$C$7,$D$6:$K$6,0)))</f>
        <v>-2.7687397209824227</v>
      </c>
      <c r="N57" s="96">
        <f t="shared" si="15"/>
        <v>-2.7687397209824227</v>
      </c>
    </row>
    <row r="58" spans="2:14">
      <c r="B58" s="249" t="s">
        <v>103</v>
      </c>
      <c r="C58" s="343" t="str">
        <f>'RFPR cover'!$C$14</f>
        <v>£m 12/13</v>
      </c>
      <c r="D58" s="245">
        <f t="shared" ref="D58:K58" si="16">SUM(D48:D57)</f>
        <v>47.561932306472272</v>
      </c>
      <c r="E58" s="144">
        <f t="shared" si="16"/>
        <v>50.753553621151774</v>
      </c>
      <c r="F58" s="144">
        <f t="shared" si="16"/>
        <v>45.616315951613579</v>
      </c>
      <c r="G58" s="144">
        <f t="shared" si="16"/>
        <v>59.793757126890718</v>
      </c>
      <c r="H58" s="144">
        <f t="shared" si="16"/>
        <v>59.50454808666224</v>
      </c>
      <c r="I58" s="144">
        <f t="shared" si="16"/>
        <v>58.923876254744208</v>
      </c>
      <c r="J58" s="144">
        <f t="shared" si="16"/>
        <v>60.875112494826261</v>
      </c>
      <c r="K58" s="145">
        <f t="shared" si="16"/>
        <v>70.463781128572009</v>
      </c>
      <c r="M58" s="143">
        <f>SUM(M48:M57)</f>
        <v>453.49287697093297</v>
      </c>
      <c r="N58" s="145">
        <f>SUM(N48:N57)</f>
        <v>453.49287697093297</v>
      </c>
    </row>
    <row r="59" spans="2:14">
      <c r="B59" s="248" t="s">
        <v>424</v>
      </c>
      <c r="C59" s="343" t="str">
        <f>'RFPR cover'!$C$14</f>
        <v>£m 12/13</v>
      </c>
      <c r="D59" s="243">
        <f>'R7 - Financing'!D88+'R10 - Tax'!D88</f>
        <v>-10.203369851348791</v>
      </c>
      <c r="E59" s="243">
        <f>'R7 - Financing'!E88+'R10 - Tax'!E88</f>
        <v>-8.9629857090686365</v>
      </c>
      <c r="F59" s="243">
        <f>'R7 - Financing'!F88+'R10 - Tax'!F88</f>
        <v>-3.6827195676445963</v>
      </c>
      <c r="G59" s="243">
        <f>'R7 - Financing'!G88+'R10 - Tax'!G88</f>
        <v>-5.5813996864816566</v>
      </c>
      <c r="H59" s="243">
        <f>'R7 - Financing'!H88+'R10 - Tax'!H88</f>
        <v>-8.135651511336544</v>
      </c>
      <c r="I59" s="243">
        <f>'R7 - Financing'!I88+'R10 - Tax'!I88</f>
        <v>-19.144647586560566</v>
      </c>
      <c r="J59" s="243">
        <f>'R7 - Financing'!J88+'R10 - Tax'!J88</f>
        <v>-0.78993364879065897</v>
      </c>
      <c r="K59" s="243">
        <f>'R7 - Financing'!K88+'R10 - Tax'!K88</f>
        <v>39.657075558381038</v>
      </c>
      <c r="M59" s="96">
        <f>SUM(D59:INDEX(D59:K59,0,MATCH('RFPR cover'!$C$7,$D$6:$K$6,0)))</f>
        <v>-16.843632002850413</v>
      </c>
      <c r="N59" s="96">
        <f>SUM(D59:K59)</f>
        <v>-16.843632002850413</v>
      </c>
    </row>
    <row r="60" spans="2:14">
      <c r="B60" s="248" t="s">
        <v>419</v>
      </c>
      <c r="C60" s="343" t="str">
        <f>'RFPR cover'!$C$14</f>
        <v>£m 12/13</v>
      </c>
      <c r="D60" s="243">
        <f>'R7 - Financing'!D90+'R10 - Tax'!D89</f>
        <v>1.6388282806290264</v>
      </c>
      <c r="E60" s="243">
        <f>'R7 - Financing'!E90+'R10 - Tax'!E89</f>
        <v>1.467669002719258</v>
      </c>
      <c r="F60" s="243">
        <f>'R7 - Financing'!F90+'R10 - Tax'!F89</f>
        <v>0.97488109200911111</v>
      </c>
      <c r="G60" s="243">
        <f>'R7 - Financing'!G90+'R10 - Tax'!G89</f>
        <v>0.69086079322958982</v>
      </c>
      <c r="H60" s="243">
        <f>'R7 - Financing'!H90+'R10 - Tax'!H89</f>
        <v>0.93093237001070928</v>
      </c>
      <c r="I60" s="243">
        <f>'R7 - Financing'!I90+'R10 - Tax'!I89</f>
        <v>2.2913558853941769</v>
      </c>
      <c r="J60" s="243">
        <f>'R7 - Financing'!J90+'R10 - Tax'!J89</f>
        <v>0.35647126173544619</v>
      </c>
      <c r="K60" s="243">
        <f>'R7 - Financing'!K90+'R10 - Tax'!K89</f>
        <v>-9.1011622043753224</v>
      </c>
      <c r="M60" s="96">
        <f>SUM(D60:INDEX(D60:K60,0,MATCH('RFPR cover'!$C$7,$D$6:$K$6,0)))</f>
        <v>-0.75016351864800512</v>
      </c>
      <c r="N60" s="96">
        <f>SUM(D60:K60)</f>
        <v>-0.75016351864800512</v>
      </c>
    </row>
    <row r="61" spans="2:14">
      <c r="B61" s="248" t="s">
        <v>425</v>
      </c>
      <c r="C61" s="343" t="str">
        <f>'RFPR cover'!$C$14</f>
        <v>£m 12/13</v>
      </c>
      <c r="D61" s="243">
        <f>'R10 - Tax'!D81-'R10 - Tax'!D88</f>
        <v>-5.9183256340785277</v>
      </c>
      <c r="E61" s="243">
        <f>'R10 - Tax'!E81-'R10 - Tax'!E88</f>
        <v>-1.4348799391516986</v>
      </c>
      <c r="F61" s="243">
        <f>'R10 - Tax'!F81-'R10 - Tax'!F88</f>
        <v>4.3564324361763482</v>
      </c>
      <c r="G61" s="243">
        <f>'R10 - Tax'!G81-'R10 - Tax'!G88</f>
        <v>-1.5332076657746061</v>
      </c>
      <c r="H61" s="243">
        <f>'R10 - Tax'!H81-'R10 - Tax'!H88</f>
        <v>-3.9023496528316022</v>
      </c>
      <c r="I61" s="243">
        <f>'R10 - Tax'!I81-'R10 - Tax'!I88</f>
        <v>1.734470690734697</v>
      </c>
      <c r="J61" s="243">
        <f>'R10 - Tax'!J81-'R10 - Tax'!J88</f>
        <v>5.755360046854932</v>
      </c>
      <c r="K61" s="243">
        <f>'R10 - Tax'!K81-'R10 - Tax'!K88</f>
        <v>18.715848566134319</v>
      </c>
      <c r="M61" s="96">
        <f>SUM(D61:INDEX(D61:K61,0,MATCH('RFPR cover'!$C$7,$D$6:$K$6,0)))</f>
        <v>17.773348848063861</v>
      </c>
      <c r="N61" s="96">
        <f>SUM(D61:K61)</f>
        <v>17.773348848063861</v>
      </c>
    </row>
    <row r="62" spans="2:14">
      <c r="B62" s="248" t="s">
        <v>420</v>
      </c>
      <c r="C62" s="343" t="str">
        <f>'RFPR cover'!$C$14</f>
        <v>£m 12/13</v>
      </c>
      <c r="D62" s="243">
        <f>'R10 - Tax'!D83-'R10 - Tax'!D89</f>
        <v>0</v>
      </c>
      <c r="E62" s="243">
        <f>'R10 - Tax'!E83-'R10 - Tax'!E89</f>
        <v>2.2204460492503131E-15</v>
      </c>
      <c r="F62" s="243">
        <f>'R10 - Tax'!F83-'R10 - Tax'!F89</f>
        <v>0</v>
      </c>
      <c r="G62" s="243">
        <f>'R10 - Tax'!G83-'R10 - Tax'!G89</f>
        <v>4.4408920985006262E-16</v>
      </c>
      <c r="H62" s="243">
        <f>'R10 - Tax'!H83-'R10 - Tax'!H89</f>
        <v>1.1102230246251565E-15</v>
      </c>
      <c r="I62" s="243">
        <f>'R10 - Tax'!I83-'R10 - Tax'!I89</f>
        <v>0</v>
      </c>
      <c r="J62" s="243">
        <f>'R10 - Tax'!J83-'R10 - Tax'!J89</f>
        <v>0</v>
      </c>
      <c r="K62" s="243">
        <f>'R10 - Tax'!K83-'R10 - Tax'!K89</f>
        <v>0</v>
      </c>
      <c r="M62" s="96">
        <f>SUM(D62:INDEX(D62:K62,0,MATCH('RFPR cover'!$C$7,$D$6:$K$6,0)))</f>
        <v>3.7747582837255322E-15</v>
      </c>
      <c r="N62" s="96">
        <f>SUM(D62:K62)</f>
        <v>3.7747582837255322E-15</v>
      </c>
    </row>
    <row r="63" spans="2:14">
      <c r="B63" s="249" t="s">
        <v>104</v>
      </c>
      <c r="C63" s="343" t="str">
        <f>'RFPR cover'!$C$14</f>
        <v>£m 12/13</v>
      </c>
      <c r="D63" s="246">
        <f>SUM(D58:D62)</f>
        <v>33.079065101673983</v>
      </c>
      <c r="E63" s="147">
        <f t="shared" ref="E63:K63" si="17">SUM(E58:E62)</f>
        <v>41.82335697565069</v>
      </c>
      <c r="F63" s="147">
        <f t="shared" si="17"/>
        <v>47.264909912154444</v>
      </c>
      <c r="G63" s="147">
        <f t="shared" si="17"/>
        <v>53.37001056786405</v>
      </c>
      <c r="H63" s="147">
        <f t="shared" si="17"/>
        <v>48.397479292504798</v>
      </c>
      <c r="I63" s="147">
        <f t="shared" si="17"/>
        <v>43.805055244312513</v>
      </c>
      <c r="J63" s="147">
        <f t="shared" si="17"/>
        <v>66.197010154625985</v>
      </c>
      <c r="K63" s="148">
        <f t="shared" si="17"/>
        <v>119.73554304871203</v>
      </c>
      <c r="M63" s="146">
        <f>SUM(M58:M62)</f>
        <v>453.67243029749841</v>
      </c>
      <c r="N63" s="148">
        <f>SUM(N58:N62)</f>
        <v>453.67243029749841</v>
      </c>
    </row>
    <row r="64" spans="2:14">
      <c r="B64" s="248"/>
      <c r="D64" s="422"/>
    </row>
    <row r="65" spans="2:11">
      <c r="B65" s="248" t="s">
        <v>231</v>
      </c>
      <c r="C65" s="343" t="str">
        <f>'RFPR cover'!$C$14</f>
        <v>£m 12/13</v>
      </c>
      <c r="D65" s="242">
        <f>'R9 - RAV'!D46</f>
        <v>526.64867713047977</v>
      </c>
      <c r="E65" s="180">
        <f>'R9 - RAV'!E46</f>
        <v>529.42038850165125</v>
      </c>
      <c r="F65" s="180">
        <f>'R9 - RAV'!F46</f>
        <v>532.27166336126322</v>
      </c>
      <c r="G65" s="180">
        <f>'R9 - RAV'!G46</f>
        <v>536.72631325109251</v>
      </c>
      <c r="H65" s="180">
        <f>'R9 - RAV'!H46</f>
        <v>541.4790550164563</v>
      </c>
      <c r="I65" s="180">
        <f>'R9 - RAV'!I46</f>
        <v>548.20437339203079</v>
      </c>
      <c r="J65" s="180">
        <f>'R9 - RAV'!J46</f>
        <v>557.30996401092148</v>
      </c>
      <c r="K65" s="181">
        <f>'R9 - RAV'!K46</f>
        <v>565.83247575946586</v>
      </c>
    </row>
    <row r="66" spans="2:11">
      <c r="B66" s="248" t="s">
        <v>107</v>
      </c>
      <c r="C66" s="343" t="str">
        <f>'RFPR cover'!$C$14</f>
        <v>£m 12/13</v>
      </c>
      <c r="D66" s="247">
        <f>'R8 - Net Debt'!D62</f>
        <v>583.7966808771472</v>
      </c>
      <c r="E66" s="184">
        <f>'R8 - Net Debt'!E62</f>
        <v>590.09155700207884</v>
      </c>
      <c r="F66" s="184">
        <f>'R8 - Net Debt'!F62</f>
        <v>596.55767441358159</v>
      </c>
      <c r="G66" s="184">
        <f>'R8 - Net Debt'!G62</f>
        <v>578.03865815247229</v>
      </c>
      <c r="H66" s="184">
        <f>'R8 - Net Debt'!H62</f>
        <v>590.77182335292525</v>
      </c>
      <c r="I66" s="184">
        <f>'R8 - Net Debt'!I62</f>
        <v>629.15994216301192</v>
      </c>
      <c r="J66" s="184">
        <f>'R8 - Net Debt'!J62</f>
        <v>679.77192814122168</v>
      </c>
      <c r="K66" s="185">
        <f>'R8 - Net Debt'!K62</f>
        <v>745.92631616813082</v>
      </c>
    </row>
  </sheetData>
  <conditionalFormatting sqref="D5:K6">
    <cfRule type="expression" dxfId="61" priority="4">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L71"/>
  <sheetViews>
    <sheetView showGridLines="0" zoomScale="80" zoomScaleNormal="80" workbookViewId="0">
      <pane ySplit="6" topLeftCell="A7" activePane="bottomLeft" state="frozen"/>
      <selection activeCell="B75" sqref="A1:XFD1048576"/>
      <selection pane="bottomLeft" activeCell="M23" sqref="M23"/>
    </sheetView>
  </sheetViews>
  <sheetFormatPr defaultRowHeight="12.75"/>
  <cols>
    <col min="1" max="1" width="8.375" customWidth="1"/>
    <col min="2" max="2" width="64.375" style="214" customWidth="1"/>
    <col min="3" max="3" width="13.375" style="137" customWidth="1"/>
    <col min="4" max="11" width="11.125" customWidth="1"/>
    <col min="12" max="12" width="5" style="42" customWidth="1"/>
  </cols>
  <sheetData>
    <row r="1" spans="1:12" s="31" customFormat="1" ht="20.25">
      <c r="A1" s="925" t="s">
        <v>119</v>
      </c>
      <c r="B1" s="926"/>
      <c r="C1" s="276"/>
      <c r="D1" s="275"/>
      <c r="E1" s="275"/>
      <c r="F1" s="275"/>
      <c r="G1" s="275"/>
      <c r="H1" s="275"/>
      <c r="I1" s="275"/>
      <c r="J1" s="275"/>
      <c r="K1" s="275"/>
      <c r="L1" s="277"/>
    </row>
    <row r="2" spans="1:12" s="31" customFormat="1" ht="20.25">
      <c r="A2" s="914" t="str">
        <f>'RFPR cover'!C5</f>
        <v>ENWL</v>
      </c>
      <c r="B2" s="927"/>
      <c r="C2" s="135"/>
      <c r="D2" s="29"/>
      <c r="E2" s="29"/>
      <c r="F2" s="29"/>
      <c r="G2" s="29"/>
      <c r="H2" s="29"/>
      <c r="I2" s="27"/>
      <c r="J2" s="27"/>
      <c r="K2" s="27"/>
      <c r="L2" s="124"/>
    </row>
    <row r="3" spans="1:12" s="31" customFormat="1" ht="20.25">
      <c r="A3" s="917">
        <f>'RFPR cover'!C7</f>
        <v>2023</v>
      </c>
      <c r="B3" s="928"/>
      <c r="C3" s="278"/>
      <c r="D3" s="261"/>
      <c r="E3" s="261"/>
      <c r="F3" s="261"/>
      <c r="G3" s="261"/>
      <c r="H3" s="261"/>
      <c r="I3" s="256"/>
      <c r="J3" s="256"/>
      <c r="K3" s="256"/>
      <c r="L3" s="262"/>
    </row>
    <row r="4" spans="1:12" s="35" customFormat="1" ht="12.75" customHeight="1">
      <c r="B4" s="226"/>
      <c r="C4" s="139"/>
      <c r="L4" s="58"/>
    </row>
    <row r="5" spans="1:12" s="2" customFormat="1">
      <c r="B5" s="130"/>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Actuals</v>
      </c>
      <c r="L5" s="54"/>
    </row>
    <row r="6" spans="1:12" s="2" customFormat="1">
      <c r="B6" s="130"/>
      <c r="C6" s="137"/>
      <c r="D6" s="91">
        <f>'RFPR cover'!$C$13</f>
        <v>2016</v>
      </c>
      <c r="E6" s="92">
        <f>D6+1</f>
        <v>2017</v>
      </c>
      <c r="F6" s="92">
        <f t="shared" ref="F6:K6" si="0">E6+1</f>
        <v>2018</v>
      </c>
      <c r="G6" s="92">
        <f t="shared" si="0"/>
        <v>2019</v>
      </c>
      <c r="H6" s="92">
        <f t="shared" si="0"/>
        <v>2020</v>
      </c>
      <c r="I6" s="92">
        <f t="shared" si="0"/>
        <v>2021</v>
      </c>
      <c r="J6" s="92">
        <f t="shared" si="0"/>
        <v>2022</v>
      </c>
      <c r="K6" s="92">
        <f t="shared" si="0"/>
        <v>2023</v>
      </c>
      <c r="L6" s="54"/>
    </row>
    <row r="7" spans="1:12" s="2" customFormat="1">
      <c r="B7" s="767"/>
      <c r="C7" s="153"/>
      <c r="D7" s="50"/>
      <c r="E7" s="50"/>
      <c r="F7" s="50"/>
      <c r="G7" s="50"/>
      <c r="H7" s="50"/>
      <c r="I7" s="50"/>
      <c r="J7" s="50"/>
      <c r="K7" s="50"/>
      <c r="L7" s="58"/>
    </row>
    <row r="8" spans="1:12" s="2" customFormat="1">
      <c r="B8" s="768" t="s">
        <v>154</v>
      </c>
      <c r="C8" s="151"/>
      <c r="D8" s="81"/>
      <c r="E8" s="81"/>
      <c r="F8" s="81"/>
      <c r="G8" s="81"/>
      <c r="H8" s="81"/>
      <c r="I8" s="81"/>
      <c r="J8" s="81"/>
      <c r="K8" s="81"/>
      <c r="L8" s="273"/>
    </row>
    <row r="9" spans="1:12" s="35" customFormat="1">
      <c r="A9" s="2"/>
      <c r="B9" s="769"/>
      <c r="C9" s="139"/>
      <c r="L9" s="58"/>
    </row>
    <row r="10" spans="1:12" s="2" customFormat="1">
      <c r="B10" s="770" t="s">
        <v>372</v>
      </c>
      <c r="C10" s="152" t="str">
        <f>'RFPR cover'!$C$14</f>
        <v>£m 12/13</v>
      </c>
      <c r="D10" s="596">
        <v>373</v>
      </c>
      <c r="E10" s="597">
        <v>379.9</v>
      </c>
      <c r="F10" s="597">
        <v>360.9</v>
      </c>
      <c r="G10" s="597">
        <v>357.3</v>
      </c>
      <c r="H10" s="597">
        <v>353.8</v>
      </c>
      <c r="I10" s="597">
        <v>350.2</v>
      </c>
      <c r="J10" s="597">
        <v>350.2</v>
      </c>
      <c r="K10" s="597">
        <v>350.2</v>
      </c>
      <c r="L10" s="58"/>
    </row>
    <row r="11" spans="1:12" s="2" customFormat="1">
      <c r="B11" s="770" t="s">
        <v>373</v>
      </c>
      <c r="C11" s="152" t="str">
        <f>'RFPR cover'!$C$14</f>
        <v>£m 12/13</v>
      </c>
      <c r="D11" s="598">
        <v>0</v>
      </c>
      <c r="E11" s="599">
        <v>-3.2491500373297413</v>
      </c>
      <c r="F11" s="599">
        <v>-4.9139999999999997</v>
      </c>
      <c r="G11" s="599">
        <v>-11.597</v>
      </c>
      <c r="H11" s="599">
        <v>-12.17621985102528</v>
      </c>
      <c r="I11" s="599">
        <v>-7.848617602478555</v>
      </c>
      <c r="J11" s="599">
        <v>-13.563297980159973</v>
      </c>
      <c r="K11" s="599">
        <v>-24.211852300949261</v>
      </c>
      <c r="L11" s="58"/>
    </row>
    <row r="12" spans="1:12" s="2" customFormat="1">
      <c r="B12" s="770" t="s">
        <v>147</v>
      </c>
      <c r="C12" s="152" t="str">
        <f>'RFPR cover'!$C$14</f>
        <v>£m 12/13</v>
      </c>
      <c r="D12" s="598">
        <v>0</v>
      </c>
      <c r="E12" s="599">
        <v>0</v>
      </c>
      <c r="F12" s="599">
        <v>-8.2050799877558322</v>
      </c>
      <c r="G12" s="599">
        <v>-1.4825975099565856</v>
      </c>
      <c r="H12" s="599">
        <v>0.88387057349575349</v>
      </c>
      <c r="I12" s="599">
        <v>-0.36341910819207524</v>
      </c>
      <c r="J12" s="599">
        <v>-3.1795977421194279</v>
      </c>
      <c r="K12" s="599">
        <v>-4.5567107419123962</v>
      </c>
      <c r="L12" s="58"/>
    </row>
    <row r="13" spans="1:12" s="2" customFormat="1">
      <c r="B13" s="770" t="s">
        <v>361</v>
      </c>
      <c r="C13" s="153" t="s">
        <v>127</v>
      </c>
      <c r="D13" s="820">
        <v>1.0820000000000001</v>
      </c>
      <c r="E13" s="821">
        <v>1.087</v>
      </c>
      <c r="F13" s="821">
        <v>1.121</v>
      </c>
      <c r="G13" s="821">
        <v>1.159</v>
      </c>
      <c r="H13" s="821">
        <v>1.198</v>
      </c>
      <c r="I13" s="821">
        <v>1.2170000000000001</v>
      </c>
      <c r="J13" s="821">
        <v>1.238</v>
      </c>
      <c r="K13" s="821">
        <v>1.321</v>
      </c>
      <c r="L13" s="58"/>
    </row>
    <row r="14" spans="1:12" s="2" customFormat="1">
      <c r="B14" s="771" t="s">
        <v>195</v>
      </c>
      <c r="C14" s="267" t="s">
        <v>128</v>
      </c>
      <c r="D14" s="631">
        <f>SUM(D10:D12)*D13</f>
        <v>403.58600000000001</v>
      </c>
      <c r="E14" s="632">
        <f t="shared" ref="E14:K14" si="1">SUM(E10:E12)*E13</f>
        <v>409.41947390942255</v>
      </c>
      <c r="F14" s="632">
        <f t="shared" si="1"/>
        <v>389.86241133372573</v>
      </c>
      <c r="G14" s="632">
        <f t="shared" si="1"/>
        <v>398.95144648596039</v>
      </c>
      <c r="H14" s="632">
        <f t="shared" si="1"/>
        <v>410.32416556551965</v>
      </c>
      <c r="I14" s="632">
        <f t="shared" si="1"/>
        <v>416.19935132311383</v>
      </c>
      <c r="J14" s="632">
        <f t="shared" si="1"/>
        <v>412.81989509581808</v>
      </c>
      <c r="K14" s="633">
        <f t="shared" si="1"/>
        <v>424.61092822037972</v>
      </c>
      <c r="L14" s="58"/>
    </row>
    <row r="15" spans="1:12" s="2" customFormat="1">
      <c r="B15" s="214" t="s">
        <v>131</v>
      </c>
      <c r="C15" s="153" t="s">
        <v>128</v>
      </c>
      <c r="D15" s="600">
        <f>'R5 - Output Incentives'!D102</f>
        <v>8.3946523265849056</v>
      </c>
      <c r="E15" s="601">
        <f>'R5 - Output Incentives'!E102</f>
        <v>15.816916746370953</v>
      </c>
      <c r="F15" s="602">
        <f>'R5 - Output Incentives'!F102</f>
        <v>17.225729169157102</v>
      </c>
      <c r="G15" s="602">
        <f>'R5 - Output Incentives'!G102</f>
        <v>16.717066034911376</v>
      </c>
      <c r="H15" s="602">
        <f>'R5 - Output Incentives'!H102</f>
        <v>15.831867129179622</v>
      </c>
      <c r="I15" s="602">
        <f>'R5 - Output Incentives'!I102</f>
        <v>17.006893008466822</v>
      </c>
      <c r="J15" s="602">
        <f>'R5 - Output Incentives'!J102</f>
        <v>22.896798161710866</v>
      </c>
      <c r="K15" s="603">
        <f>'R5 - Output Incentives'!K102</f>
        <v>22.409795098853333</v>
      </c>
      <c r="L15" s="58"/>
    </row>
    <row r="16" spans="1:12" s="2" customFormat="1">
      <c r="B16" s="772" t="s">
        <v>374</v>
      </c>
      <c r="C16" s="153" t="s">
        <v>128</v>
      </c>
      <c r="D16" s="598">
        <v>0</v>
      </c>
      <c r="E16" s="599">
        <v>0</v>
      </c>
      <c r="F16" s="599">
        <v>-0.88931801153572032</v>
      </c>
      <c r="G16" s="599">
        <v>-0.8470221320312612</v>
      </c>
      <c r="H16" s="599">
        <v>-4.2425535576751026</v>
      </c>
      <c r="I16" s="599">
        <v>-3.9006942289953286</v>
      </c>
      <c r="J16" s="599">
        <v>-3.9812464038880355</v>
      </c>
      <c r="K16" s="599">
        <v>74.199995550290041</v>
      </c>
      <c r="L16" s="58"/>
    </row>
    <row r="17" spans="2:12" s="2" customFormat="1">
      <c r="B17" s="772" t="s">
        <v>134</v>
      </c>
      <c r="C17" s="153" t="s">
        <v>128</v>
      </c>
      <c r="D17" s="600">
        <f>'R6 - Innovation'!D12</f>
        <v>2.5253786443801003</v>
      </c>
      <c r="E17" s="601">
        <f>'R6 - Innovation'!E12</f>
        <v>2.8649822704817343</v>
      </c>
      <c r="F17" s="602">
        <f>'R6 - Innovation'!F12</f>
        <v>2.7290382767864685</v>
      </c>
      <c r="G17" s="602">
        <f>'R6 - Innovation'!G12</f>
        <v>2.7926612547027196</v>
      </c>
      <c r="H17" s="602">
        <f>'R6 - Innovation'!H12</f>
        <v>2.872269162610972</v>
      </c>
      <c r="I17" s="602">
        <f>'R6 - Innovation'!I12</f>
        <v>2.913395458051848</v>
      </c>
      <c r="J17" s="602">
        <f>'R6 - Innovation'!J12</f>
        <v>2.8897392656363734</v>
      </c>
      <c r="K17" s="603">
        <f>'R6 - Innovation'!K12</f>
        <v>2.2085740242096175</v>
      </c>
      <c r="L17" s="58"/>
    </row>
    <row r="18" spans="2:12" s="2" customFormat="1">
      <c r="B18" s="772" t="s">
        <v>133</v>
      </c>
      <c r="C18" s="153" t="s">
        <v>128</v>
      </c>
      <c r="D18" s="600">
        <f>'R6 - Innovation'!D17</f>
        <v>1.6461309099999999</v>
      </c>
      <c r="E18" s="601">
        <f>'R6 - Innovation'!E17</f>
        <v>8.7207129999999994E-2</v>
      </c>
      <c r="F18" s="602">
        <f>'R6 - Innovation'!F17</f>
        <v>0.252</v>
      </c>
      <c r="G18" s="602">
        <f>'R6 - Innovation'!G17</f>
        <v>0.68253417000000005</v>
      </c>
      <c r="H18" s="602">
        <f>'R6 - Innovation'!H17</f>
        <v>9.3236239999999998E-2</v>
      </c>
      <c r="I18" s="602">
        <f>'R6 - Innovation'!I17</f>
        <v>-0.25155160999999998</v>
      </c>
      <c r="J18" s="602">
        <f>'R6 - Innovation'!J17</f>
        <v>5.5624060000000003E-2</v>
      </c>
      <c r="K18" s="603">
        <f>'R6 - Innovation'!K17</f>
        <v>-0.26098867999999997</v>
      </c>
      <c r="L18" s="58"/>
    </row>
    <row r="19" spans="2:12" s="2" customFormat="1">
      <c r="B19" s="544" t="s">
        <v>573</v>
      </c>
      <c r="C19" s="153" t="s">
        <v>128</v>
      </c>
      <c r="D19" s="598">
        <v>0</v>
      </c>
      <c r="E19" s="599">
        <v>0</v>
      </c>
      <c r="F19" s="599">
        <v>0</v>
      </c>
      <c r="G19" s="599">
        <v>0</v>
      </c>
      <c r="H19" s="599">
        <v>0</v>
      </c>
      <c r="I19" s="599">
        <v>0</v>
      </c>
      <c r="J19" s="599">
        <v>0</v>
      </c>
      <c r="K19" s="599">
        <v>0</v>
      </c>
      <c r="L19" s="58"/>
    </row>
    <row r="20" spans="2:12" s="2" customFormat="1">
      <c r="B20" s="544" t="s">
        <v>574</v>
      </c>
      <c r="C20" s="153" t="s">
        <v>128</v>
      </c>
      <c r="D20" s="598">
        <v>0</v>
      </c>
      <c r="E20" s="599">
        <v>0</v>
      </c>
      <c r="F20" s="599">
        <v>0</v>
      </c>
      <c r="G20" s="599">
        <v>0</v>
      </c>
      <c r="H20" s="599">
        <v>0</v>
      </c>
      <c r="I20" s="599">
        <v>0</v>
      </c>
      <c r="J20" s="599">
        <v>0</v>
      </c>
      <c r="K20" s="599">
        <v>0</v>
      </c>
      <c r="L20" s="58"/>
    </row>
    <row r="21" spans="2:12" s="2" customFormat="1">
      <c r="B21" s="544" t="s">
        <v>575</v>
      </c>
      <c r="C21" s="153" t="s">
        <v>128</v>
      </c>
      <c r="D21" s="598">
        <v>-11.558263661289118</v>
      </c>
      <c r="E21" s="599">
        <v>-10.709473797917887</v>
      </c>
      <c r="F21" s="599">
        <v>0</v>
      </c>
      <c r="G21" s="599">
        <v>0</v>
      </c>
      <c r="H21" s="599">
        <v>0</v>
      </c>
      <c r="I21" s="599">
        <v>0</v>
      </c>
      <c r="J21" s="599">
        <v>0</v>
      </c>
      <c r="K21" s="599">
        <v>0</v>
      </c>
      <c r="L21" s="58"/>
    </row>
    <row r="22" spans="2:12" s="2" customFormat="1">
      <c r="B22" s="544" t="s">
        <v>576</v>
      </c>
      <c r="C22" s="153" t="s">
        <v>128</v>
      </c>
      <c r="D22" s="598">
        <v>0</v>
      </c>
      <c r="E22" s="599">
        <v>0</v>
      </c>
      <c r="F22" s="599">
        <v>0</v>
      </c>
      <c r="G22" s="599">
        <v>0</v>
      </c>
      <c r="H22" s="599">
        <v>0</v>
      </c>
      <c r="I22" s="599">
        <v>0</v>
      </c>
      <c r="J22" s="599">
        <v>0</v>
      </c>
      <c r="K22" s="599">
        <v>0</v>
      </c>
      <c r="L22" s="58"/>
    </row>
    <row r="23" spans="2:12" s="2" customFormat="1">
      <c r="B23" s="544" t="s">
        <v>576</v>
      </c>
      <c r="C23" s="153" t="s">
        <v>128</v>
      </c>
      <c r="D23" s="598">
        <v>0</v>
      </c>
      <c r="E23" s="599">
        <v>0</v>
      </c>
      <c r="F23" s="599">
        <v>0</v>
      </c>
      <c r="G23" s="599">
        <v>0</v>
      </c>
      <c r="H23" s="599">
        <v>0</v>
      </c>
      <c r="I23" s="599">
        <v>0</v>
      </c>
      <c r="J23" s="599">
        <v>0</v>
      </c>
      <c r="K23" s="599">
        <v>0</v>
      </c>
      <c r="L23" s="58"/>
    </row>
    <row r="24" spans="2:12" s="2" customFormat="1">
      <c r="B24" s="544" t="s">
        <v>576</v>
      </c>
      <c r="C24" s="153" t="s">
        <v>128</v>
      </c>
      <c r="D24" s="598">
        <v>0</v>
      </c>
      <c r="E24" s="599">
        <v>0</v>
      </c>
      <c r="F24" s="599">
        <v>0</v>
      </c>
      <c r="G24" s="599">
        <v>0</v>
      </c>
      <c r="H24" s="599">
        <v>0</v>
      </c>
      <c r="I24" s="599">
        <v>0</v>
      </c>
      <c r="J24" s="599">
        <v>0</v>
      </c>
      <c r="K24" s="599">
        <v>0</v>
      </c>
      <c r="L24" s="58"/>
    </row>
    <row r="25" spans="2:12" s="2" customFormat="1">
      <c r="B25" s="772" t="s">
        <v>135</v>
      </c>
      <c r="C25" s="153" t="s">
        <v>128</v>
      </c>
      <c r="D25" s="598">
        <v>0</v>
      </c>
      <c r="E25" s="599">
        <v>-30.584258893461001</v>
      </c>
      <c r="F25" s="599">
        <v>11.088673086225823</v>
      </c>
      <c r="G25" s="599">
        <v>4.1599120641999239</v>
      </c>
      <c r="H25" s="599">
        <v>-3.8326727800322402</v>
      </c>
      <c r="I25" s="599">
        <v>-0.25039803327987353</v>
      </c>
      <c r="J25" s="599">
        <v>9.9972604895292623</v>
      </c>
      <c r="K25" s="599">
        <v>-22.311787993010316</v>
      </c>
      <c r="L25" s="58"/>
    </row>
    <row r="26" spans="2:12" s="2" customFormat="1">
      <c r="B26" s="767" t="s">
        <v>148</v>
      </c>
      <c r="C26" s="153" t="s">
        <v>128</v>
      </c>
      <c r="D26" s="604">
        <f>SUM(D14:D24,-D25)</f>
        <v>404.59389821967591</v>
      </c>
      <c r="E26" s="605">
        <f t="shared" ref="E26:K26" si="2">SUM(E14:E24,-E25)</f>
        <v>448.0633651518184</v>
      </c>
      <c r="F26" s="605">
        <f t="shared" si="2"/>
        <v>398.0911876819078</v>
      </c>
      <c r="G26" s="605">
        <f t="shared" si="2"/>
        <v>414.13677374934326</v>
      </c>
      <c r="H26" s="605">
        <f t="shared" si="2"/>
        <v>428.71165731966738</v>
      </c>
      <c r="I26" s="605">
        <f t="shared" si="2"/>
        <v>432.21779198391704</v>
      </c>
      <c r="J26" s="605">
        <f t="shared" si="2"/>
        <v>424.68354968974808</v>
      </c>
      <c r="K26" s="606">
        <f t="shared" si="2"/>
        <v>545.48009220674305</v>
      </c>
      <c r="L26" s="58"/>
    </row>
    <row r="27" spans="2:12" s="2" customFormat="1">
      <c r="B27" s="226"/>
      <c r="C27" s="139"/>
      <c r="D27" s="55"/>
      <c r="E27" s="55"/>
      <c r="F27" s="55"/>
      <c r="G27" s="61"/>
      <c r="H27" s="61"/>
      <c r="I27" s="61"/>
      <c r="J27" s="61"/>
      <c r="K27" s="61"/>
      <c r="L27" s="58"/>
    </row>
    <row r="28" spans="2:12" s="2" customFormat="1">
      <c r="B28" s="226" t="s">
        <v>150</v>
      </c>
      <c r="C28" s="139"/>
      <c r="D28" s="604">
        <f>IF(ISBLANK(D33),0,D33-D26)</f>
        <v>10.675290732227722</v>
      </c>
      <c r="E28" s="605">
        <f t="shared" ref="E28:K28" si="3">IF(ISBLANK(E33),0,E33-E26)</f>
        <v>4.0106220580176455</v>
      </c>
      <c r="F28" s="605">
        <f t="shared" si="3"/>
        <v>-3.683187681907782</v>
      </c>
      <c r="G28" s="605">
        <f t="shared" si="3"/>
        <v>-0.23977374934327145</v>
      </c>
      <c r="H28" s="605">
        <f t="shared" si="3"/>
        <v>9.6263426803326411</v>
      </c>
      <c r="I28" s="605">
        <f t="shared" si="3"/>
        <v>-21.594846302761596</v>
      </c>
      <c r="J28" s="605">
        <f t="shared" si="3"/>
        <v>3.605970070251999</v>
      </c>
      <c r="K28" s="606">
        <f t="shared" si="3"/>
        <v>-9.5217488225322313</v>
      </c>
      <c r="L28" s="58"/>
    </row>
    <row r="29" spans="2:12" s="2" customFormat="1">
      <c r="B29" s="226"/>
      <c r="C29" s="139"/>
      <c r="D29" s="35"/>
      <c r="E29" s="35"/>
      <c r="F29" s="35"/>
      <c r="G29" s="35"/>
      <c r="H29" s="35"/>
      <c r="I29" s="35"/>
      <c r="J29" s="35"/>
      <c r="K29" s="35"/>
      <c r="L29" s="58"/>
    </row>
    <row r="30" spans="2:12" s="2" customFormat="1">
      <c r="B30" s="226"/>
      <c r="C30" s="139"/>
      <c r="D30" s="35"/>
      <c r="E30" s="35"/>
      <c r="F30" s="35"/>
      <c r="G30" s="35"/>
      <c r="H30" s="35"/>
      <c r="I30" s="35"/>
      <c r="J30" s="35"/>
      <c r="K30" s="35"/>
      <c r="L30" s="58"/>
    </row>
    <row r="31" spans="2:12" s="2" customFormat="1">
      <c r="B31" s="768" t="s">
        <v>192</v>
      </c>
      <c r="C31" s="151"/>
      <c r="D31" s="81"/>
      <c r="E31" s="81"/>
      <c r="F31" s="81"/>
      <c r="G31" s="81"/>
      <c r="H31" s="81"/>
      <c r="I31" s="81"/>
      <c r="J31" s="81"/>
      <c r="K31" s="81"/>
      <c r="L31" s="274"/>
    </row>
    <row r="32" spans="2:12" s="2" customFormat="1">
      <c r="B32" s="226"/>
      <c r="C32" s="139"/>
      <c r="D32" s="35"/>
      <c r="E32" s="35"/>
      <c r="F32" s="35"/>
      <c r="G32" s="35"/>
      <c r="H32" s="35"/>
      <c r="I32" s="35"/>
      <c r="J32" s="35"/>
      <c r="K32" s="35"/>
      <c r="L32" s="58"/>
    </row>
    <row r="33" spans="2:12" s="2" customFormat="1">
      <c r="B33" s="769" t="s">
        <v>149</v>
      </c>
      <c r="C33" s="139"/>
      <c r="D33" s="640">
        <v>415.26918895190363</v>
      </c>
      <c r="E33" s="641">
        <v>452.07398720983605</v>
      </c>
      <c r="F33" s="641">
        <v>394.40800000000002</v>
      </c>
      <c r="G33" s="641">
        <v>413.89699999999999</v>
      </c>
      <c r="H33" s="641">
        <v>438.33800000000002</v>
      </c>
      <c r="I33" s="641">
        <v>410.62294568115544</v>
      </c>
      <c r="J33" s="641">
        <v>428.28951976000008</v>
      </c>
      <c r="K33" s="642">
        <v>535.95834338421082</v>
      </c>
      <c r="L33" s="58"/>
    </row>
    <row r="34" spans="2:12" s="2" customFormat="1">
      <c r="B34" s="130"/>
      <c r="C34" s="137"/>
      <c r="L34" s="58"/>
    </row>
    <row r="35" spans="2:12" s="2" customFormat="1">
      <c r="B35" s="395" t="s">
        <v>136</v>
      </c>
      <c r="C35" s="137"/>
      <c r="L35" s="58"/>
    </row>
    <row r="36" spans="2:12" s="2" customFormat="1">
      <c r="B36" s="899" t="s">
        <v>137</v>
      </c>
      <c r="C36" s="153" t="s">
        <v>128</v>
      </c>
      <c r="D36" s="596">
        <v>0</v>
      </c>
      <c r="E36" s="597">
        <v>4.74383351</v>
      </c>
      <c r="F36" s="597">
        <v>0</v>
      </c>
      <c r="G36" s="597">
        <v>0</v>
      </c>
      <c r="H36" s="597">
        <v>0</v>
      </c>
      <c r="I36" s="597">
        <v>0</v>
      </c>
      <c r="J36" s="597">
        <v>0</v>
      </c>
      <c r="K36" s="607">
        <v>0</v>
      </c>
      <c r="L36" s="58"/>
    </row>
    <row r="37" spans="2:12" s="2" customFormat="1">
      <c r="B37" s="899" t="s">
        <v>138</v>
      </c>
      <c r="C37" s="153" t="s">
        <v>128</v>
      </c>
      <c r="D37" s="598">
        <v>3.3428548300000003</v>
      </c>
      <c r="E37" s="599">
        <v>3.1227670000000001</v>
      </c>
      <c r="F37" s="599">
        <v>2.7855081400000001</v>
      </c>
      <c r="G37" s="599">
        <v>2.5674263699999997</v>
      </c>
      <c r="H37" s="599">
        <v>2.4285763999999999</v>
      </c>
      <c r="I37" s="599">
        <v>2.2496191399999996</v>
      </c>
      <c r="J37" s="599">
        <v>2.1093788600000001</v>
      </c>
      <c r="K37" s="608">
        <v>2.05975427</v>
      </c>
      <c r="L37" s="58"/>
    </row>
    <row r="38" spans="2:12" s="2" customFormat="1">
      <c r="B38" s="899" t="s">
        <v>139</v>
      </c>
      <c r="C38" s="153" t="s">
        <v>128</v>
      </c>
      <c r="D38" s="598">
        <v>54.082507396350096</v>
      </c>
      <c r="E38" s="599">
        <v>55.814502219999994</v>
      </c>
      <c r="F38" s="599">
        <v>48.158962101949264</v>
      </c>
      <c r="G38" s="599">
        <v>48.971750857535376</v>
      </c>
      <c r="H38" s="599">
        <v>11.461053329615057</v>
      </c>
      <c r="I38" s="599">
        <v>11.477866460000001</v>
      </c>
      <c r="J38" s="599">
        <v>15.147516705000003</v>
      </c>
      <c r="K38" s="608">
        <v>21.137906078432874</v>
      </c>
      <c r="L38" s="58"/>
    </row>
    <row r="39" spans="2:12" s="2" customFormat="1">
      <c r="B39" s="899" t="s">
        <v>140</v>
      </c>
      <c r="C39" s="153" t="s">
        <v>128</v>
      </c>
      <c r="D39" s="598">
        <v>0</v>
      </c>
      <c r="E39" s="599">
        <v>0</v>
      </c>
      <c r="F39" s="599">
        <v>0</v>
      </c>
      <c r="G39" s="599">
        <v>0</v>
      </c>
      <c r="H39" s="599">
        <v>0</v>
      </c>
      <c r="I39" s="599">
        <v>0</v>
      </c>
      <c r="J39" s="599">
        <v>0</v>
      </c>
      <c r="K39" s="608">
        <v>0</v>
      </c>
      <c r="L39" s="58"/>
    </row>
    <row r="40" spans="2:12" s="2" customFormat="1">
      <c r="B40" s="899" t="s">
        <v>141</v>
      </c>
      <c r="C40" s="153" t="s">
        <v>128</v>
      </c>
      <c r="D40" s="598">
        <v>0</v>
      </c>
      <c r="E40" s="599">
        <v>0</v>
      </c>
      <c r="F40" s="599">
        <v>0</v>
      </c>
      <c r="G40" s="599">
        <v>0</v>
      </c>
      <c r="H40" s="599">
        <v>0</v>
      </c>
      <c r="I40" s="599">
        <v>0</v>
      </c>
      <c r="J40" s="599">
        <v>0</v>
      </c>
      <c r="K40" s="608">
        <v>0</v>
      </c>
      <c r="L40" s="58"/>
    </row>
    <row r="41" spans="2:12" s="2" customFormat="1">
      <c r="B41" s="899" t="s">
        <v>142</v>
      </c>
      <c r="C41" s="153" t="s">
        <v>128</v>
      </c>
      <c r="D41" s="598">
        <v>1.6678053200000009</v>
      </c>
      <c r="E41" s="599">
        <v>0.96157862000000005</v>
      </c>
      <c r="F41" s="599">
        <v>4.3052643555645682</v>
      </c>
      <c r="G41" s="599">
        <v>2.084525071464622</v>
      </c>
      <c r="H41" s="599">
        <v>1.6922434203849428</v>
      </c>
      <c r="I41" s="599">
        <v>4.0742739800000001</v>
      </c>
      <c r="J41" s="599">
        <v>4.0522159150000006</v>
      </c>
      <c r="K41" s="608">
        <v>4.6080048200000006</v>
      </c>
      <c r="L41" s="58"/>
    </row>
    <row r="42" spans="2:12" s="2" customFormat="1">
      <c r="B42" s="899" t="s">
        <v>143</v>
      </c>
      <c r="C42" s="153" t="s">
        <v>128</v>
      </c>
      <c r="D42" s="598">
        <v>0</v>
      </c>
      <c r="E42" s="599">
        <v>0</v>
      </c>
      <c r="F42" s="599">
        <v>0</v>
      </c>
      <c r="G42" s="599">
        <v>0</v>
      </c>
      <c r="H42" s="599">
        <v>0</v>
      </c>
      <c r="I42" s="599">
        <v>0</v>
      </c>
      <c r="J42" s="599">
        <v>0</v>
      </c>
      <c r="K42" s="608">
        <v>0</v>
      </c>
      <c r="L42" s="58"/>
    </row>
    <row r="43" spans="2:12" s="2" customFormat="1">
      <c r="B43" s="900" t="s">
        <v>144</v>
      </c>
      <c r="C43" s="153" t="s">
        <v>128</v>
      </c>
      <c r="D43" s="609">
        <v>0</v>
      </c>
      <c r="E43" s="610">
        <v>0</v>
      </c>
      <c r="F43" s="610">
        <v>0</v>
      </c>
      <c r="G43" s="610">
        <v>0</v>
      </c>
      <c r="H43" s="610">
        <v>0</v>
      </c>
      <c r="I43" s="610">
        <v>0</v>
      </c>
      <c r="J43" s="610">
        <v>0</v>
      </c>
      <c r="K43" s="611">
        <v>0</v>
      </c>
      <c r="L43" s="58"/>
    </row>
    <row r="44" spans="2:12" s="2" customFormat="1">
      <c r="B44" s="898" t="s">
        <v>577</v>
      </c>
      <c r="C44" s="153" t="s">
        <v>128</v>
      </c>
      <c r="D44" s="609">
        <v>0</v>
      </c>
      <c r="E44" s="610">
        <v>0</v>
      </c>
      <c r="F44" s="610">
        <v>0</v>
      </c>
      <c r="G44" s="610">
        <v>0.63968830560000001</v>
      </c>
      <c r="H44" s="610">
        <v>0.64261901519999998</v>
      </c>
      <c r="I44" s="610">
        <v>0</v>
      </c>
      <c r="J44" s="610">
        <v>0</v>
      </c>
      <c r="K44" s="611">
        <v>0</v>
      </c>
      <c r="L44" s="58"/>
    </row>
    <row r="45" spans="2:12" s="2" customFormat="1">
      <c r="B45" s="395" t="s">
        <v>175</v>
      </c>
      <c r="C45" s="153" t="s">
        <v>128</v>
      </c>
      <c r="D45" s="612">
        <f>SUM(D36:D44)</f>
        <v>59.093167546350095</v>
      </c>
      <c r="E45" s="613">
        <f t="shared" ref="E45:K45" si="4">SUM(E36:E44)</f>
        <v>64.642681349999989</v>
      </c>
      <c r="F45" s="613">
        <f t="shared" si="4"/>
        <v>55.249734597513829</v>
      </c>
      <c r="G45" s="613">
        <f t="shared" si="4"/>
        <v>54.263390604600005</v>
      </c>
      <c r="H45" s="613">
        <f t="shared" si="4"/>
        <v>16.224492165199997</v>
      </c>
      <c r="I45" s="613">
        <f t="shared" si="4"/>
        <v>17.801759580000002</v>
      </c>
      <c r="J45" s="613">
        <f t="shared" si="4"/>
        <v>21.309111480000006</v>
      </c>
      <c r="K45" s="614">
        <f t="shared" si="4"/>
        <v>27.805665168432874</v>
      </c>
      <c r="L45" s="58"/>
    </row>
    <row r="46" spans="2:12" s="2" customFormat="1">
      <c r="B46" s="130"/>
      <c r="C46" s="137"/>
      <c r="L46" s="58"/>
    </row>
    <row r="47" spans="2:12" s="2" customFormat="1">
      <c r="B47" s="395" t="s">
        <v>145</v>
      </c>
      <c r="C47" s="137"/>
      <c r="L47" s="54"/>
    </row>
    <row r="48" spans="2:12" s="2" customFormat="1">
      <c r="B48" s="544" t="s">
        <v>578</v>
      </c>
      <c r="C48" s="153" t="s">
        <v>128</v>
      </c>
      <c r="D48" s="615">
        <v>-38.202786846350094</v>
      </c>
      <c r="E48" s="616">
        <v>-41.48276181</v>
      </c>
      <c r="F48" s="616">
        <v>-33.142870897513831</v>
      </c>
      <c r="G48" s="616">
        <v>-35.908215939000002</v>
      </c>
      <c r="H48" s="616">
        <v>0</v>
      </c>
      <c r="I48" s="616">
        <v>0</v>
      </c>
      <c r="J48" s="616">
        <v>0</v>
      </c>
      <c r="K48" s="617">
        <v>0</v>
      </c>
      <c r="L48" s="58"/>
    </row>
    <row r="49" spans="2:12" s="2" customFormat="1">
      <c r="B49" s="544" t="s">
        <v>579</v>
      </c>
      <c r="C49" s="153" t="s">
        <v>128</v>
      </c>
      <c r="D49" s="618">
        <v>5.5660210000000001</v>
      </c>
      <c r="E49" s="619">
        <v>-1.4829417399999998</v>
      </c>
      <c r="F49" s="619">
        <v>2.3942835800000002</v>
      </c>
      <c r="G49" s="619">
        <v>2.4063430100000001</v>
      </c>
      <c r="H49" s="619">
        <v>0.83022727000000007</v>
      </c>
      <c r="I49" s="619">
        <v>0.50221256000000003</v>
      </c>
      <c r="J49" s="619">
        <v>0.73988815000000008</v>
      </c>
      <c r="K49" s="620">
        <v>5.1132601600000021</v>
      </c>
      <c r="L49" s="58"/>
    </row>
    <row r="50" spans="2:12" s="2" customFormat="1">
      <c r="B50" s="544" t="s">
        <v>580</v>
      </c>
      <c r="C50" s="153" t="s">
        <v>128</v>
      </c>
      <c r="D50" s="618">
        <v>2.2785844700000002</v>
      </c>
      <c r="E50" s="619">
        <v>2.4680794000000001</v>
      </c>
      <c r="F50" s="619">
        <v>1.8157624200000007</v>
      </c>
      <c r="G50" s="619">
        <v>2.5789156900000014</v>
      </c>
      <c r="H50" s="619">
        <v>1.7735162400000024</v>
      </c>
      <c r="I50" s="619">
        <v>0.44296587000000448</v>
      </c>
      <c r="J50" s="619">
        <v>0.70960713999999936</v>
      </c>
      <c r="K50" s="620">
        <v>2.3935254915670838</v>
      </c>
      <c r="L50" s="58"/>
    </row>
    <row r="51" spans="2:12" s="2" customFormat="1">
      <c r="B51" s="544" t="s">
        <v>581</v>
      </c>
      <c r="C51" s="153" t="s">
        <v>128</v>
      </c>
      <c r="D51" s="618">
        <v>4.6383260000000002</v>
      </c>
      <c r="E51" s="619">
        <v>5.5418890000000003</v>
      </c>
      <c r="F51" s="619">
        <v>6.39616805</v>
      </c>
      <c r="G51" s="619">
        <v>17.593685810000004</v>
      </c>
      <c r="H51" s="619">
        <v>18.264567420000002</v>
      </c>
      <c r="I51" s="619">
        <v>18.859801899999997</v>
      </c>
      <c r="J51" s="619">
        <v>19.539764350000002</v>
      </c>
      <c r="K51" s="620">
        <v>20.222379069999999</v>
      </c>
      <c r="L51" s="58"/>
    </row>
    <row r="52" spans="2:12" s="2" customFormat="1">
      <c r="B52" s="544" t="s">
        <v>582</v>
      </c>
      <c r="C52" s="153" t="s">
        <v>128</v>
      </c>
      <c r="D52" s="618">
        <v>0.94732206000000008</v>
      </c>
      <c r="E52" s="619">
        <v>0.91621300000000006</v>
      </c>
      <c r="F52" s="619">
        <v>1.2438243399999998</v>
      </c>
      <c r="G52" s="619">
        <v>1.25670525</v>
      </c>
      <c r="H52" s="619">
        <v>1.2816322499999999</v>
      </c>
      <c r="I52" s="619">
        <v>0.46234049999999999</v>
      </c>
      <c r="J52" s="619">
        <v>0.77645712</v>
      </c>
      <c r="K52" s="620">
        <v>1.2448920999999999</v>
      </c>
      <c r="L52" s="58"/>
    </row>
    <row r="53" spans="2:12" s="2" customFormat="1">
      <c r="B53" s="544" t="s">
        <v>583</v>
      </c>
      <c r="C53" s="153" t="s">
        <v>128</v>
      </c>
      <c r="D53" s="618">
        <v>0.87485400000000002</v>
      </c>
      <c r="E53" s="619">
        <v>0.99982599999999999</v>
      </c>
      <c r="F53" s="619">
        <v>1.1054805599999999</v>
      </c>
      <c r="G53" s="619">
        <v>1.4557728900000002</v>
      </c>
      <c r="H53" s="619">
        <v>1.2304915300000001</v>
      </c>
      <c r="I53" s="619">
        <v>0.87787209999999993</v>
      </c>
      <c r="J53" s="619">
        <v>1.0284202499999999</v>
      </c>
      <c r="K53" s="620">
        <v>1.0945588100000001</v>
      </c>
      <c r="L53" s="58"/>
    </row>
    <row r="54" spans="2:12" s="2" customFormat="1">
      <c r="B54" s="544" t="s">
        <v>584</v>
      </c>
      <c r="C54" s="153" t="s">
        <v>128</v>
      </c>
      <c r="D54" s="618">
        <v>0.17303499999999999</v>
      </c>
      <c r="E54" s="619">
        <v>0.28488606</v>
      </c>
      <c r="F54" s="619">
        <v>0.32445767999999997</v>
      </c>
      <c r="G54" s="619">
        <v>0.16728709</v>
      </c>
      <c r="H54" s="619">
        <v>0.19890573</v>
      </c>
      <c r="I54" s="619">
        <v>0.19810570000000002</v>
      </c>
      <c r="J54" s="619">
        <v>0.31724321999999999</v>
      </c>
      <c r="K54" s="620">
        <v>0.41572434999999996</v>
      </c>
      <c r="L54" s="58"/>
    </row>
    <row r="55" spans="2:12" s="2" customFormat="1">
      <c r="B55" s="544" t="s">
        <v>585</v>
      </c>
      <c r="C55" s="153" t="s">
        <v>128</v>
      </c>
      <c r="D55" s="618">
        <v>3.8899790000000004E-2</v>
      </c>
      <c r="E55" s="619">
        <v>2.1218000000000001E-2</v>
      </c>
      <c r="F55" s="619">
        <v>0</v>
      </c>
      <c r="G55" s="619">
        <v>0</v>
      </c>
      <c r="H55" s="619">
        <v>0</v>
      </c>
      <c r="I55" s="619">
        <v>0</v>
      </c>
      <c r="J55" s="619">
        <v>0</v>
      </c>
      <c r="K55" s="620">
        <v>0</v>
      </c>
      <c r="L55" s="58"/>
    </row>
    <row r="56" spans="2:12" s="2" customFormat="1">
      <c r="B56" s="544" t="s">
        <v>586</v>
      </c>
      <c r="C56" s="153" t="s">
        <v>128</v>
      </c>
      <c r="D56" s="618">
        <v>5.2614899999999997E-3</v>
      </c>
      <c r="E56" s="619">
        <v>6.5290000000000001E-3</v>
      </c>
      <c r="F56" s="619">
        <v>1.250826E-2</v>
      </c>
      <c r="G56" s="619">
        <v>0.30560978</v>
      </c>
      <c r="H56" s="619">
        <v>-0.28892000000000001</v>
      </c>
      <c r="I56" s="619">
        <v>6.8922599999999999E-3</v>
      </c>
      <c r="J56" s="619">
        <v>2.2346000000000001E-2</v>
      </c>
      <c r="K56" s="620">
        <v>5.8549999999999997E-4</v>
      </c>
      <c r="L56" s="58"/>
    </row>
    <row r="57" spans="2:12" s="2" customFormat="1">
      <c r="B57" s="544" t="s">
        <v>587</v>
      </c>
      <c r="C57" s="153" t="s">
        <v>128</v>
      </c>
      <c r="D57" s="618">
        <v>8.3865010000000004E-2</v>
      </c>
      <c r="E57" s="619">
        <v>1.4831505899999999</v>
      </c>
      <c r="F57" s="619">
        <v>0.39443776000000003</v>
      </c>
      <c r="G57" s="619">
        <v>0.30644798000000001</v>
      </c>
      <c r="H57" s="619">
        <v>0.23761581000000001</v>
      </c>
      <c r="I57" s="619">
        <v>6.43685E-3</v>
      </c>
      <c r="J57" s="619">
        <v>2.7749180000000002E-2</v>
      </c>
      <c r="K57" s="620">
        <v>0.42094017</v>
      </c>
      <c r="L57" s="58"/>
    </row>
    <row r="58" spans="2:12" s="2" customFormat="1">
      <c r="B58" s="544" t="s">
        <v>576</v>
      </c>
      <c r="C58" s="153" t="s">
        <v>128</v>
      </c>
      <c r="D58" s="618">
        <v>0</v>
      </c>
      <c r="E58" s="619">
        <v>0</v>
      </c>
      <c r="F58" s="619">
        <v>0</v>
      </c>
      <c r="G58" s="619">
        <v>0</v>
      </c>
      <c r="H58" s="619">
        <v>0</v>
      </c>
      <c r="I58" s="619">
        <v>0</v>
      </c>
      <c r="J58" s="619">
        <v>0</v>
      </c>
      <c r="K58" s="620">
        <v>0</v>
      </c>
      <c r="L58" s="58"/>
    </row>
    <row r="59" spans="2:12" s="2" customFormat="1">
      <c r="B59" s="544" t="s">
        <v>576</v>
      </c>
      <c r="C59" s="153" t="s">
        <v>128</v>
      </c>
      <c r="D59" s="618">
        <v>0</v>
      </c>
      <c r="E59" s="619">
        <v>0</v>
      </c>
      <c r="F59" s="619">
        <v>0</v>
      </c>
      <c r="G59" s="619">
        <v>0</v>
      </c>
      <c r="H59" s="619">
        <v>0</v>
      </c>
      <c r="I59" s="619">
        <v>0</v>
      </c>
      <c r="J59" s="619">
        <v>0</v>
      </c>
      <c r="K59" s="620">
        <v>0</v>
      </c>
      <c r="L59" s="58"/>
    </row>
    <row r="60" spans="2:12" s="2" customFormat="1">
      <c r="B60" s="544" t="s">
        <v>576</v>
      </c>
      <c r="C60" s="153" t="s">
        <v>128</v>
      </c>
      <c r="D60" s="618">
        <v>0</v>
      </c>
      <c r="E60" s="619">
        <v>0</v>
      </c>
      <c r="F60" s="619">
        <v>0</v>
      </c>
      <c r="G60" s="619">
        <v>0</v>
      </c>
      <c r="H60" s="619">
        <v>0</v>
      </c>
      <c r="I60" s="619">
        <v>0</v>
      </c>
      <c r="J60" s="619">
        <v>0</v>
      </c>
      <c r="K60" s="620">
        <v>0</v>
      </c>
      <c r="L60" s="58"/>
    </row>
    <row r="61" spans="2:12" s="2" customFormat="1">
      <c r="B61" s="544" t="s">
        <v>576</v>
      </c>
      <c r="C61" s="153" t="s">
        <v>128</v>
      </c>
      <c r="D61" s="618">
        <v>0</v>
      </c>
      <c r="E61" s="619">
        <v>0</v>
      </c>
      <c r="F61" s="619">
        <v>0</v>
      </c>
      <c r="G61" s="619">
        <v>0</v>
      </c>
      <c r="H61" s="619">
        <v>0</v>
      </c>
      <c r="I61" s="619">
        <v>0</v>
      </c>
      <c r="J61" s="619">
        <v>0</v>
      </c>
      <c r="K61" s="620">
        <v>0</v>
      </c>
      <c r="L61" s="58"/>
    </row>
    <row r="62" spans="2:12" s="2" customFormat="1">
      <c r="B62" s="544" t="s">
        <v>576</v>
      </c>
      <c r="C62" s="153" t="s">
        <v>128</v>
      </c>
      <c r="D62" s="618">
        <v>0</v>
      </c>
      <c r="E62" s="619">
        <v>0</v>
      </c>
      <c r="F62" s="619">
        <v>0</v>
      </c>
      <c r="G62" s="619">
        <v>0</v>
      </c>
      <c r="H62" s="619">
        <v>0</v>
      </c>
      <c r="I62" s="619">
        <v>0</v>
      </c>
      <c r="J62" s="619">
        <v>0</v>
      </c>
      <c r="K62" s="620">
        <v>0</v>
      </c>
      <c r="L62" s="58"/>
    </row>
    <row r="63" spans="2:12" s="2" customFormat="1">
      <c r="B63" s="773" t="s">
        <v>576</v>
      </c>
      <c r="C63" s="153" t="s">
        <v>128</v>
      </c>
      <c r="D63" s="621">
        <v>0</v>
      </c>
      <c r="E63" s="622">
        <v>0</v>
      </c>
      <c r="F63" s="623">
        <v>0</v>
      </c>
      <c r="G63" s="622">
        <v>0</v>
      </c>
      <c r="H63" s="622">
        <v>0</v>
      </c>
      <c r="I63" s="622">
        <v>0</v>
      </c>
      <c r="J63" s="622">
        <v>0</v>
      </c>
      <c r="K63" s="624">
        <v>0</v>
      </c>
      <c r="L63" s="58"/>
    </row>
    <row r="64" spans="2:12" s="2" customFormat="1">
      <c r="B64" s="769" t="s">
        <v>176</v>
      </c>
      <c r="C64" s="153" t="s">
        <v>128</v>
      </c>
      <c r="D64" s="604">
        <f t="shared" ref="D64:K64" si="5">SUM(D48:D63)</f>
        <v>-23.5966180263501</v>
      </c>
      <c r="E64" s="605">
        <f t="shared" si="5"/>
        <v>-31.243912500000008</v>
      </c>
      <c r="F64" s="605">
        <f t="shared" si="5"/>
        <v>-19.455948247513831</v>
      </c>
      <c r="G64" s="605">
        <f t="shared" si="5"/>
        <v>-9.8374484389999957</v>
      </c>
      <c r="H64" s="605">
        <f t="shared" si="5"/>
        <v>23.528036250000003</v>
      </c>
      <c r="I64" s="605">
        <f t="shared" si="5"/>
        <v>21.356627740000004</v>
      </c>
      <c r="J64" s="605">
        <f t="shared" si="5"/>
        <v>23.161475410000001</v>
      </c>
      <c r="K64" s="606">
        <f t="shared" si="5"/>
        <v>30.905865651567087</v>
      </c>
      <c r="L64" s="58"/>
    </row>
    <row r="65" spans="1:12" s="2" customFormat="1">
      <c r="B65" s="226"/>
      <c r="C65" s="139"/>
      <c r="D65" s="56"/>
      <c r="E65" s="56"/>
      <c r="F65" s="56"/>
      <c r="G65" s="56"/>
      <c r="H65" s="56"/>
      <c r="I65" s="56"/>
      <c r="J65" s="56"/>
      <c r="K65" s="56"/>
      <c r="L65" s="58"/>
    </row>
    <row r="66" spans="1:12" s="2" customFormat="1">
      <c r="B66" s="769" t="s">
        <v>146</v>
      </c>
      <c r="C66" s="153" t="s">
        <v>128</v>
      </c>
      <c r="D66" s="625">
        <f t="shared" ref="D66:K66" si="6">D33+D45+D64</f>
        <v>450.76573847190366</v>
      </c>
      <c r="E66" s="626">
        <f t="shared" si="6"/>
        <v>485.47275605983606</v>
      </c>
      <c r="F66" s="626">
        <f t="shared" si="6"/>
        <v>430.20178635000002</v>
      </c>
      <c r="G66" s="626">
        <f t="shared" si="6"/>
        <v>458.32294216560001</v>
      </c>
      <c r="H66" s="626">
        <f t="shared" si="6"/>
        <v>478.09052841520003</v>
      </c>
      <c r="I66" s="626">
        <f t="shared" si="6"/>
        <v>449.78133300115547</v>
      </c>
      <c r="J66" s="626">
        <f t="shared" si="6"/>
        <v>472.76010665000007</v>
      </c>
      <c r="K66" s="627">
        <f t="shared" si="6"/>
        <v>594.66987420421071</v>
      </c>
      <c r="L66" s="58"/>
    </row>
    <row r="67" spans="1:12" s="2" customFormat="1">
      <c r="B67" s="769" t="s">
        <v>193</v>
      </c>
      <c r="C67" s="153" t="s">
        <v>128</v>
      </c>
      <c r="D67" s="628">
        <v>450.8</v>
      </c>
      <c r="E67" s="629">
        <v>485.5</v>
      </c>
      <c r="F67" s="629">
        <v>430.2</v>
      </c>
      <c r="G67" s="629">
        <v>458.3</v>
      </c>
      <c r="H67" s="629">
        <v>478.1</v>
      </c>
      <c r="I67" s="629">
        <v>449.78121031000012</v>
      </c>
      <c r="J67" s="629">
        <v>472.76010665000007</v>
      </c>
      <c r="K67" s="630">
        <v>594.6698742042106</v>
      </c>
      <c r="L67" s="58"/>
    </row>
    <row r="68" spans="1:12" s="2" customFormat="1">
      <c r="B68" s="226" t="s">
        <v>122</v>
      </c>
      <c r="C68" s="139"/>
      <c r="D68" s="116" t="str">
        <f>IF(ABS(D66-D67)&lt;'RFPR cover'!$F$14,"OK","Error")</f>
        <v>OK</v>
      </c>
      <c r="E68" s="116" t="str">
        <f>IF(ABS(E66-E67)&lt;'RFPR cover'!$F$14,"OK","Error")</f>
        <v>OK</v>
      </c>
      <c r="F68" s="116" t="str">
        <f>IF(ABS(F66-F67)&lt;'RFPR cover'!$F$14,"OK","Error")</f>
        <v>OK</v>
      </c>
      <c r="G68" s="116" t="str">
        <f>IF(ABS(G66-G67)&lt;'RFPR cover'!$F$14,"OK","Error")</f>
        <v>OK</v>
      </c>
      <c r="H68" s="116" t="str">
        <f>IF(ABS(H66-H67)&lt;'RFPR cover'!$F$14,"OK","Error")</f>
        <v>OK</v>
      </c>
      <c r="I68" s="116" t="str">
        <f>IF(ABS(I66-I67)&lt;'RFPR cover'!$F$14,"OK","Error")</f>
        <v>OK</v>
      </c>
      <c r="J68" s="116" t="str">
        <f>IF(ABS(J66-J67)&lt;'RFPR cover'!$F$14,"OK","Error")</f>
        <v>OK</v>
      </c>
      <c r="K68" s="116" t="str">
        <f>IF(ABS(K66-K67)&lt;'RFPR cover'!$F$14,"OK","Error")</f>
        <v>OK</v>
      </c>
      <c r="L68" s="58"/>
    </row>
    <row r="69" spans="1:12" s="2" customFormat="1">
      <c r="B69" s="130"/>
      <c r="C69" s="139"/>
      <c r="D69" s="48"/>
      <c r="E69" s="48"/>
      <c r="F69" s="48"/>
      <c r="G69" s="48"/>
      <c r="H69" s="48"/>
      <c r="I69" s="48"/>
      <c r="J69" s="48"/>
      <c r="K69" s="48"/>
      <c r="L69" s="58"/>
    </row>
    <row r="70" spans="1:12" s="2" customFormat="1">
      <c r="B70" s="130"/>
      <c r="C70" s="137"/>
      <c r="L70" s="54"/>
    </row>
    <row r="71" spans="1:12" s="2" customFormat="1">
      <c r="A71" s="81"/>
      <c r="B71" s="774"/>
      <c r="C71" s="151"/>
      <c r="D71" s="81"/>
      <c r="E71" s="81"/>
      <c r="F71" s="81"/>
      <c r="G71" s="81"/>
      <c r="H71" s="81"/>
      <c r="I71" s="81"/>
      <c r="J71" s="81"/>
      <c r="K71" s="81"/>
      <c r="L71" s="273"/>
    </row>
  </sheetData>
  <conditionalFormatting sqref="D6:K6">
    <cfRule type="expression" dxfId="60" priority="12">
      <formula>AND(D$5="Actuals",E$5="Forecast")</formula>
    </cfRule>
  </conditionalFormatting>
  <conditionalFormatting sqref="D5:K5">
    <cfRule type="expression" dxfId="59" priority="5">
      <formula>AND(D$5="Actuals",E$5="Forecast")</formula>
    </cfRule>
  </conditionalFormatting>
  <conditionalFormatting sqref="D33:K33 D36:K45 D48:K64 D28:H28 D66:K68">
    <cfRule type="expression" dxfId="58" priority="4">
      <formula>D$5="Forecast"</formula>
    </cfRule>
  </conditionalFormatting>
  <conditionalFormatting sqref="I10:K26 I28:K28">
    <cfRule type="expression" dxfId="57" priority="3">
      <formula>I$5="Forecast"</formula>
    </cfRule>
  </conditionalFormatting>
  <conditionalFormatting sqref="H10:H26">
    <cfRule type="expression" dxfId="56" priority="2">
      <formula>H$5="Forecast"</formula>
    </cfRule>
  </conditionalFormatting>
  <conditionalFormatting sqref="G10:G26">
    <cfRule type="expression" dxfId="55"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86"/>
  <sheetViews>
    <sheetView showGridLines="0" zoomScale="80" zoomScaleNormal="80" workbookViewId="0">
      <pane ySplit="6" topLeftCell="A7" activePane="bottomLeft" state="frozen"/>
      <selection activeCell="B75" sqref="A1:XFD1048576"/>
      <selection pane="bottomLeft" activeCell="O22" sqref="O22"/>
    </sheetView>
  </sheetViews>
  <sheetFormatPr defaultRowHeight="12.75"/>
  <cols>
    <col min="1" max="1" width="8.375" customWidth="1"/>
    <col min="2" max="2" width="74.5" customWidth="1"/>
    <col min="3" max="3" width="13.375" style="137" customWidth="1"/>
    <col min="4" max="11" width="11.125" customWidth="1"/>
    <col min="12" max="12" width="5" customWidth="1"/>
  </cols>
  <sheetData>
    <row r="1" spans="1:12" s="31" customFormat="1" ht="20.25">
      <c r="A1" s="929" t="s">
        <v>308</v>
      </c>
      <c r="B1" s="930"/>
      <c r="C1" s="149"/>
      <c r="D1" s="122"/>
      <c r="E1" s="122"/>
      <c r="F1" s="122"/>
      <c r="G1" s="122"/>
      <c r="H1" s="122"/>
      <c r="I1" s="122"/>
      <c r="J1" s="122"/>
      <c r="K1" s="122"/>
      <c r="L1" s="123"/>
    </row>
    <row r="2" spans="1:12" s="31" customFormat="1" ht="20.25">
      <c r="A2" s="914" t="str">
        <f>'RFPR cover'!C5</f>
        <v>ENWL</v>
      </c>
      <c r="B2" s="906"/>
      <c r="C2" s="135"/>
      <c r="D2" s="29"/>
      <c r="E2" s="29"/>
      <c r="F2" s="29"/>
      <c r="G2" s="29"/>
      <c r="H2" s="29"/>
      <c r="I2" s="27"/>
      <c r="J2" s="27"/>
      <c r="K2" s="27"/>
      <c r="L2" s="124"/>
    </row>
    <row r="3" spans="1:12" s="31" customFormat="1" ht="20.25">
      <c r="A3" s="931">
        <f>'RFPR cover'!C7</f>
        <v>2023</v>
      </c>
      <c r="B3" s="932"/>
      <c r="C3" s="150"/>
      <c r="D3" s="125"/>
      <c r="E3" s="125"/>
      <c r="F3" s="125"/>
      <c r="G3" s="125"/>
      <c r="H3" s="125"/>
      <c r="I3" s="28"/>
      <c r="J3" s="28"/>
      <c r="K3" s="28"/>
      <c r="L3" s="126"/>
    </row>
    <row r="4" spans="1:12" s="2" customFormat="1" ht="12.75" customHeight="1">
      <c r="C4" s="137"/>
    </row>
    <row r="5" spans="1:12" s="2" customFormat="1">
      <c r="B5" s="3"/>
      <c r="C5" s="137"/>
      <c r="D5" s="391" t="str">
        <f>IF(D6&lt;='RFPR cover'!$C$7,"Actuals","N/A")</f>
        <v>Actuals</v>
      </c>
      <c r="E5" s="392" t="str">
        <f>IF(E6&lt;='RFPR cover'!$C$7,"Actuals","N/A")</f>
        <v>Actuals</v>
      </c>
      <c r="F5" s="392" t="str">
        <f>IF(F6&lt;='RFPR cover'!$C$7,"Actuals","N/A")</f>
        <v>Actuals</v>
      </c>
      <c r="G5" s="392" t="str">
        <f>IF(G6&lt;='RFPR cover'!$C$7,"Actuals","N/A")</f>
        <v>Actuals</v>
      </c>
      <c r="H5" s="392" t="str">
        <f>IF(H6&lt;='RFPR cover'!$C$7,"Actuals","N/A")</f>
        <v>Actuals</v>
      </c>
      <c r="I5" s="392" t="str">
        <f>IF(I6&lt;='RFPR cover'!$C$7,"Actuals","N/A")</f>
        <v>Actuals</v>
      </c>
      <c r="J5" s="392" t="str">
        <f>IF(J6&lt;='RFPR cover'!$C$7,"Actuals","N/A")</f>
        <v>Actuals</v>
      </c>
      <c r="K5" s="393" t="str">
        <f>IF(K6&lt;='RFPR cover'!$C$7,"Actuals","N/A")</f>
        <v>Actuals</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C7" s="137"/>
    </row>
    <row r="8" spans="1:12" s="2" customFormat="1">
      <c r="B8" s="51" t="s">
        <v>314</v>
      </c>
      <c r="C8" s="138"/>
      <c r="D8" s="51"/>
      <c r="E8" s="51"/>
      <c r="F8" s="51"/>
      <c r="G8" s="51"/>
      <c r="H8" s="51"/>
      <c r="I8" s="51"/>
      <c r="J8" s="51"/>
      <c r="K8" s="51"/>
      <c r="L8" s="35"/>
    </row>
    <row r="9" spans="1:12" s="2" customFormat="1">
      <c r="B9" s="130" t="s">
        <v>159</v>
      </c>
      <c r="C9" s="153" t="s">
        <v>128</v>
      </c>
      <c r="D9" s="596">
        <v>206.46236121785822</v>
      </c>
      <c r="E9" s="597">
        <v>200.4</v>
      </c>
      <c r="F9" s="597">
        <v>208.91333318000002</v>
      </c>
      <c r="G9" s="597">
        <v>232.48008367000006</v>
      </c>
      <c r="H9" s="597">
        <v>216.82041472999995</v>
      </c>
      <c r="I9" s="597">
        <v>192.88794374</v>
      </c>
      <c r="J9" s="597">
        <v>200.95629473600656</v>
      </c>
      <c r="K9" s="607">
        <v>252.94907170000002</v>
      </c>
    </row>
    <row r="10" spans="1:12" s="2" customFormat="1">
      <c r="B10" s="130" t="s">
        <v>160</v>
      </c>
      <c r="C10" s="153" t="s">
        <v>128</v>
      </c>
      <c r="D10" s="598">
        <v>14.895001890000106</v>
      </c>
      <c r="E10" s="599">
        <v>10.1</v>
      </c>
      <c r="F10" s="599">
        <v>9.5501010199999996</v>
      </c>
      <c r="G10" s="599">
        <v>8.870313659999999</v>
      </c>
      <c r="H10" s="599">
        <v>7.984638809999999</v>
      </c>
      <c r="I10" s="599">
        <v>8.5433116100000017</v>
      </c>
      <c r="J10" s="599">
        <v>12.185200529999998</v>
      </c>
      <c r="K10" s="608">
        <v>10.54540927</v>
      </c>
    </row>
    <row r="11" spans="1:12" s="2" customFormat="1" ht="29.25" customHeight="1">
      <c r="B11" s="131" t="s">
        <v>441</v>
      </c>
      <c r="C11" s="153" t="s">
        <v>128</v>
      </c>
      <c r="D11" s="598">
        <v>-0.93469595671135608</v>
      </c>
      <c r="E11" s="599">
        <v>-0.96651071</v>
      </c>
      <c r="F11" s="599">
        <v>-1.1831797499999999</v>
      </c>
      <c r="G11" s="599">
        <v>-1.2145819230000001</v>
      </c>
      <c r="H11" s="599">
        <v>-1.9206859270000001</v>
      </c>
      <c r="I11" s="599">
        <v>-0.8037955</v>
      </c>
      <c r="J11" s="599">
        <v>-1.0278746122061329</v>
      </c>
      <c r="K11" s="608">
        <v>-1.0659913032908399</v>
      </c>
    </row>
    <row r="12" spans="1:12" s="2" customFormat="1">
      <c r="B12" s="130" t="s">
        <v>161</v>
      </c>
      <c r="C12" s="153" t="s">
        <v>128</v>
      </c>
      <c r="D12" s="598">
        <v>-44.3</v>
      </c>
      <c r="E12" s="599">
        <v>-45.4</v>
      </c>
      <c r="F12" s="599">
        <v>-44.021677959999998</v>
      </c>
      <c r="G12" s="599">
        <v>-37.799999999999997</v>
      </c>
      <c r="H12" s="599">
        <v>-32.903540189999973</v>
      </c>
      <c r="I12" s="599">
        <v>-34.971053109999943</v>
      </c>
      <c r="J12" s="599">
        <v>-51.772341880000077</v>
      </c>
      <c r="K12" s="608">
        <v>-60.650319489999895</v>
      </c>
    </row>
    <row r="13" spans="1:12" s="2" customFormat="1">
      <c r="B13" s="130" t="s">
        <v>162</v>
      </c>
      <c r="C13" s="153" t="s">
        <v>128</v>
      </c>
      <c r="D13" s="598">
        <v>-0.97577899999999995</v>
      </c>
      <c r="E13" s="599">
        <v>-0.9</v>
      </c>
      <c r="F13" s="599">
        <v>-1.047474</v>
      </c>
      <c r="G13" s="599">
        <v>-1.124142</v>
      </c>
      <c r="H13" s="599">
        <v>-1.084049</v>
      </c>
      <c r="I13" s="599">
        <v>-0.88928499999999999</v>
      </c>
      <c r="J13" s="599">
        <v>-1.012139746006526</v>
      </c>
      <c r="K13" s="608">
        <v>-1.1669433300000001</v>
      </c>
    </row>
    <row r="14" spans="1:12" s="2" customFormat="1">
      <c r="B14" s="130" t="s">
        <v>163</v>
      </c>
      <c r="C14" s="153" t="s">
        <v>128</v>
      </c>
      <c r="D14" s="634">
        <v>0</v>
      </c>
      <c r="E14" s="635">
        <v>0</v>
      </c>
      <c r="F14" s="635">
        <v>0</v>
      </c>
      <c r="G14" s="635">
        <v>0</v>
      </c>
      <c r="H14" s="635">
        <v>0</v>
      </c>
      <c r="I14" s="635">
        <v>0</v>
      </c>
      <c r="J14" s="635">
        <v>0</v>
      </c>
      <c r="K14" s="636">
        <v>0</v>
      </c>
    </row>
    <row r="15" spans="1:12" s="2" customFormat="1">
      <c r="A15" s="3">
        <v>1</v>
      </c>
      <c r="B15" s="874" t="s">
        <v>576</v>
      </c>
      <c r="C15" s="153" t="s">
        <v>128</v>
      </c>
      <c r="D15" s="596">
        <v>0</v>
      </c>
      <c r="E15" s="597">
        <v>0</v>
      </c>
      <c r="F15" s="597">
        <v>0</v>
      </c>
      <c r="G15" s="597">
        <v>0</v>
      </c>
      <c r="H15" s="597">
        <v>0</v>
      </c>
      <c r="I15" s="597">
        <v>0</v>
      </c>
      <c r="J15" s="597">
        <v>0</v>
      </c>
      <c r="K15" s="607">
        <v>0</v>
      </c>
    </row>
    <row r="16" spans="1:12" s="2" customFormat="1">
      <c r="A16" s="3">
        <v>2</v>
      </c>
      <c r="B16" s="874" t="s">
        <v>576</v>
      </c>
      <c r="C16" s="153" t="s">
        <v>128</v>
      </c>
      <c r="D16" s="598">
        <v>0</v>
      </c>
      <c r="E16" s="599">
        <v>0</v>
      </c>
      <c r="F16" s="599">
        <v>0</v>
      </c>
      <c r="G16" s="599">
        <v>0</v>
      </c>
      <c r="H16" s="599">
        <v>0</v>
      </c>
      <c r="I16" s="599">
        <v>0</v>
      </c>
      <c r="J16" s="599">
        <v>0</v>
      </c>
      <c r="K16" s="608">
        <v>0</v>
      </c>
    </row>
    <row r="17" spans="1:11" s="2" customFormat="1">
      <c r="A17" s="3">
        <v>3</v>
      </c>
      <c r="B17" s="874" t="s">
        <v>576</v>
      </c>
      <c r="C17" s="153" t="s">
        <v>128</v>
      </c>
      <c r="D17" s="598">
        <v>0</v>
      </c>
      <c r="E17" s="599">
        <v>0</v>
      </c>
      <c r="F17" s="599">
        <v>0</v>
      </c>
      <c r="G17" s="599">
        <v>0</v>
      </c>
      <c r="H17" s="599">
        <v>0</v>
      </c>
      <c r="I17" s="599">
        <v>0</v>
      </c>
      <c r="J17" s="599">
        <v>0</v>
      </c>
      <c r="K17" s="608">
        <v>0</v>
      </c>
    </row>
    <row r="18" spans="1:11" s="2" customFormat="1">
      <c r="B18" s="12" t="s">
        <v>164</v>
      </c>
      <c r="C18" s="153" t="s">
        <v>128</v>
      </c>
      <c r="D18" s="637">
        <f>SUM(D9:D17)</f>
        <v>175.14688815114698</v>
      </c>
      <c r="E18" s="638">
        <f t="shared" ref="E18:K18" si="1">SUM(E9:E17)</f>
        <v>163.23348928999999</v>
      </c>
      <c r="F18" s="638">
        <f t="shared" si="1"/>
        <v>172.21110249000003</v>
      </c>
      <c r="G18" s="638">
        <f t="shared" si="1"/>
        <v>201.21167340700003</v>
      </c>
      <c r="H18" s="638">
        <f t="shared" si="1"/>
        <v>188.896778423</v>
      </c>
      <c r="I18" s="638">
        <f t="shared" si="1"/>
        <v>164.76712174000002</v>
      </c>
      <c r="J18" s="638">
        <f t="shared" si="1"/>
        <v>159.32913902779381</v>
      </c>
      <c r="K18" s="639">
        <f t="shared" si="1"/>
        <v>200.61122684670929</v>
      </c>
    </row>
    <row r="19" spans="1:11" s="2" customFormat="1">
      <c r="B19" s="130" t="s">
        <v>165</v>
      </c>
      <c r="C19" s="153" t="s">
        <v>128</v>
      </c>
      <c r="D19" s="640">
        <v>141.72690119000004</v>
      </c>
      <c r="E19" s="641">
        <v>126.8</v>
      </c>
      <c r="F19" s="641">
        <v>143.57558348000001</v>
      </c>
      <c r="G19" s="641">
        <v>150.94076291000002</v>
      </c>
      <c r="H19" s="641">
        <v>144.52644100000001</v>
      </c>
      <c r="I19" s="641">
        <v>147.84152036000003</v>
      </c>
      <c r="J19" s="641">
        <v>164.44454952999999</v>
      </c>
      <c r="K19" s="642">
        <v>258.52523208000002</v>
      </c>
    </row>
    <row r="20" spans="1:11" s="2" customFormat="1">
      <c r="A20" s="3">
        <v>1</v>
      </c>
      <c r="B20" s="874" t="s">
        <v>576</v>
      </c>
      <c r="C20" s="153" t="s">
        <v>128</v>
      </c>
      <c r="D20" s="596">
        <v>0</v>
      </c>
      <c r="E20" s="597">
        <v>0</v>
      </c>
      <c r="F20" s="597">
        <v>0</v>
      </c>
      <c r="G20" s="597">
        <v>0</v>
      </c>
      <c r="H20" s="597">
        <v>0</v>
      </c>
      <c r="I20" s="597">
        <v>0</v>
      </c>
      <c r="J20" s="597">
        <v>0</v>
      </c>
      <c r="K20" s="607">
        <v>0</v>
      </c>
    </row>
    <row r="21" spans="1:11" s="2" customFormat="1">
      <c r="A21" s="3">
        <v>2</v>
      </c>
      <c r="B21" s="874" t="s">
        <v>576</v>
      </c>
      <c r="C21" s="153" t="s">
        <v>128</v>
      </c>
      <c r="D21" s="598">
        <v>0</v>
      </c>
      <c r="E21" s="599">
        <v>0</v>
      </c>
      <c r="F21" s="599">
        <v>0</v>
      </c>
      <c r="G21" s="599">
        <v>0</v>
      </c>
      <c r="H21" s="599">
        <v>0</v>
      </c>
      <c r="I21" s="599">
        <v>0</v>
      </c>
      <c r="J21" s="599">
        <v>0</v>
      </c>
      <c r="K21" s="608">
        <v>0</v>
      </c>
    </row>
    <row r="22" spans="1:11" s="2" customFormat="1">
      <c r="A22" s="3">
        <v>3</v>
      </c>
      <c r="B22" s="874" t="s">
        <v>576</v>
      </c>
      <c r="C22" s="153" t="s">
        <v>128</v>
      </c>
      <c r="D22" s="598">
        <v>0</v>
      </c>
      <c r="E22" s="599">
        <v>0</v>
      </c>
      <c r="F22" s="599">
        <v>0</v>
      </c>
      <c r="G22" s="599">
        <v>0</v>
      </c>
      <c r="H22" s="599">
        <v>0</v>
      </c>
      <c r="I22" s="599">
        <v>0</v>
      </c>
      <c r="J22" s="599">
        <v>0</v>
      </c>
      <c r="K22" s="608">
        <v>0</v>
      </c>
    </row>
    <row r="23" spans="1:11" s="2" customFormat="1">
      <c r="B23" s="12" t="s">
        <v>166</v>
      </c>
      <c r="C23" s="153" t="s">
        <v>128</v>
      </c>
      <c r="D23" s="612">
        <f>SUM(D18:D22)</f>
        <v>316.87378934114702</v>
      </c>
      <c r="E23" s="613">
        <f t="shared" ref="E23:K23" si="2">SUM(E18:E22)</f>
        <v>290.03348928999998</v>
      </c>
      <c r="F23" s="613">
        <f t="shared" si="2"/>
        <v>315.78668597000001</v>
      </c>
      <c r="G23" s="613">
        <f t="shared" si="2"/>
        <v>352.15243631700002</v>
      </c>
      <c r="H23" s="613">
        <f t="shared" si="2"/>
        <v>333.42321942299998</v>
      </c>
      <c r="I23" s="613">
        <f t="shared" si="2"/>
        <v>312.60864210000005</v>
      </c>
      <c r="J23" s="613">
        <f t="shared" si="2"/>
        <v>323.77368855779378</v>
      </c>
      <c r="K23" s="614">
        <f t="shared" si="2"/>
        <v>459.13645892670934</v>
      </c>
    </row>
    <row r="24" spans="1:11" s="2" customFormat="1">
      <c r="C24" s="137"/>
      <c r="D24" s="52"/>
      <c r="E24" s="52"/>
      <c r="F24" s="52"/>
      <c r="G24" s="52"/>
      <c r="H24" s="52"/>
      <c r="I24" s="52"/>
      <c r="J24" s="52"/>
      <c r="K24" s="52"/>
    </row>
    <row r="25" spans="1:11" s="2" customFormat="1">
      <c r="B25" s="12" t="s">
        <v>431</v>
      </c>
      <c r="C25" s="153" t="s">
        <v>128</v>
      </c>
      <c r="D25" s="54"/>
    </row>
    <row r="26" spans="1:11" s="2" customFormat="1">
      <c r="A26" s="3">
        <v>1</v>
      </c>
      <c r="B26" s="521" t="s">
        <v>588</v>
      </c>
      <c r="C26" s="153" t="s">
        <v>128</v>
      </c>
      <c r="D26" s="596">
        <v>4.7860798783695104</v>
      </c>
      <c r="E26" s="597">
        <v>-1.8330883</v>
      </c>
      <c r="F26" s="597">
        <v>10.556866199999998</v>
      </c>
      <c r="G26" s="597">
        <v>-0.71020308400000465</v>
      </c>
      <c r="H26" s="597">
        <v>-2.9839229200000017</v>
      </c>
      <c r="I26" s="597">
        <v>4.0487440300000008</v>
      </c>
      <c r="J26" s="597">
        <v>16.364473610000104</v>
      </c>
      <c r="K26" s="607">
        <v>20.238427400000003</v>
      </c>
    </row>
    <row r="27" spans="1:11" s="2" customFormat="1">
      <c r="A27" s="3">
        <v>2</v>
      </c>
      <c r="B27" s="521" t="s">
        <v>589</v>
      </c>
      <c r="C27" s="153" t="s">
        <v>128</v>
      </c>
      <c r="D27" s="598">
        <v>-2.2301440000000001</v>
      </c>
      <c r="E27" s="599">
        <v>-2.407073</v>
      </c>
      <c r="F27" s="599">
        <v>-1.75218242</v>
      </c>
      <c r="G27" s="599">
        <v>-2.5247307700000001</v>
      </c>
      <c r="H27" s="599">
        <v>-1.49008746</v>
      </c>
      <c r="I27" s="599">
        <v>-0.22435686999999999</v>
      </c>
      <c r="J27" s="599">
        <v>-0.24136160999999998</v>
      </c>
      <c r="K27" s="608">
        <v>-0.92243219999999992</v>
      </c>
    </row>
    <row r="28" spans="1:11" s="2" customFormat="1">
      <c r="A28" s="3">
        <v>3</v>
      </c>
      <c r="B28" s="521" t="s">
        <v>590</v>
      </c>
      <c r="C28" s="153" t="s">
        <v>128</v>
      </c>
      <c r="D28" s="598">
        <v>7.33223337</v>
      </c>
      <c r="E28" s="599">
        <v>-0.88319831000000004</v>
      </c>
      <c r="F28" s="599">
        <v>0.8811109399999999</v>
      </c>
      <c r="G28" s="599">
        <v>8.1475399999999906E-2</v>
      </c>
      <c r="H28" s="599">
        <v>0.62065714000000016</v>
      </c>
      <c r="I28" s="599">
        <v>0.19135595999999999</v>
      </c>
      <c r="J28" s="599">
        <v>0.37446370999999995</v>
      </c>
      <c r="K28" s="608">
        <v>0.66766685231773859</v>
      </c>
    </row>
    <row r="29" spans="1:11" s="2" customFormat="1">
      <c r="A29" s="3">
        <v>4</v>
      </c>
      <c r="B29" s="521" t="s">
        <v>591</v>
      </c>
      <c r="C29" s="153" t="s">
        <v>128</v>
      </c>
      <c r="D29" s="598">
        <v>-0.87485442999999996</v>
      </c>
      <c r="E29" s="599">
        <v>-0.93213000000000001</v>
      </c>
      <c r="F29" s="599">
        <v>-1.0829085199999999</v>
      </c>
      <c r="G29" s="599">
        <v>-1.45577289</v>
      </c>
      <c r="H29" s="599">
        <v>-1.2304915300000001</v>
      </c>
      <c r="I29" s="599">
        <v>-0.87787210000000004</v>
      </c>
      <c r="J29" s="599">
        <v>-1.0284202499999999</v>
      </c>
      <c r="K29" s="608">
        <v>-1.0945588099999999</v>
      </c>
    </row>
    <row r="30" spans="1:11" s="2" customFormat="1">
      <c r="A30" s="3">
        <v>5</v>
      </c>
      <c r="B30" s="521" t="s">
        <v>592</v>
      </c>
      <c r="C30" s="153" t="s">
        <v>128</v>
      </c>
      <c r="D30" s="598">
        <v>-2.3845047400000001</v>
      </c>
      <c r="E30" s="599">
        <v>-1.2241580000000001</v>
      </c>
      <c r="F30" s="599">
        <v>-3.8587189999999998</v>
      </c>
      <c r="G30" s="599">
        <v>-8.7952385500000005</v>
      </c>
      <c r="H30" s="599">
        <v>-4.0617404299999986</v>
      </c>
      <c r="I30" s="599">
        <v>-2.6054911500000002</v>
      </c>
      <c r="J30" s="599">
        <v>3.181866869999999</v>
      </c>
      <c r="K30" s="608">
        <v>-3.6098630399999991</v>
      </c>
    </row>
    <row r="31" spans="1:11" s="2" customFormat="1">
      <c r="A31" s="3">
        <v>6</v>
      </c>
      <c r="B31" s="521" t="s">
        <v>593</v>
      </c>
      <c r="C31" s="153" t="s">
        <v>128</v>
      </c>
      <c r="D31" s="598">
        <v>0.35973699999999997</v>
      </c>
      <c r="E31" s="599">
        <v>0.48987999999999998</v>
      </c>
      <c r="F31" s="599">
        <v>0.48381235</v>
      </c>
      <c r="G31" s="599">
        <v>0.54587655000000002</v>
      </c>
      <c r="H31" s="599">
        <v>0.60985149999999999</v>
      </c>
      <c r="I31" s="599">
        <v>0.40529231000000004</v>
      </c>
      <c r="J31" s="599">
        <v>0.37771336999999999</v>
      </c>
      <c r="K31" s="608">
        <v>0.52465544654830243</v>
      </c>
    </row>
    <row r="32" spans="1:11" s="2" customFormat="1">
      <c r="A32" s="3">
        <v>7</v>
      </c>
      <c r="B32" s="521" t="s">
        <v>594</v>
      </c>
      <c r="C32" s="153" t="s">
        <v>128</v>
      </c>
      <c r="D32" s="598">
        <v>0</v>
      </c>
      <c r="E32" s="599">
        <v>0.1891933404893606</v>
      </c>
      <c r="F32" s="599">
        <v>0.34600799999999998</v>
      </c>
      <c r="G32" s="599">
        <v>0.35515999999999998</v>
      </c>
      <c r="H32" s="599">
        <v>0.36599999999999999</v>
      </c>
      <c r="I32" s="599">
        <v>-2.5</v>
      </c>
      <c r="J32" s="599">
        <v>-2.5</v>
      </c>
      <c r="K32" s="608">
        <v>-2.4999999599999998</v>
      </c>
    </row>
    <row r="33" spans="1:11" s="2" customFormat="1">
      <c r="A33" s="3">
        <v>8</v>
      </c>
      <c r="B33" s="521" t="s">
        <v>595</v>
      </c>
      <c r="C33" s="153" t="s">
        <v>128</v>
      </c>
      <c r="D33" s="598">
        <v>11.000400000000001</v>
      </c>
      <c r="E33" s="599">
        <v>11.111206659510641</v>
      </c>
      <c r="F33" s="599">
        <v>16.954391999999999</v>
      </c>
      <c r="G33" s="599">
        <v>17.402840000000001</v>
      </c>
      <c r="H33" s="599">
        <v>17.934000000000001</v>
      </c>
      <c r="I33" s="599">
        <v>18.899999999999999</v>
      </c>
      <c r="J33" s="599">
        <v>19.400400000000001</v>
      </c>
      <c r="K33" s="608">
        <v>20.000399999999999</v>
      </c>
    </row>
    <row r="34" spans="1:11" s="2" customFormat="1">
      <c r="A34" s="3">
        <v>9</v>
      </c>
      <c r="B34" s="521" t="s">
        <v>596</v>
      </c>
      <c r="C34" s="153" t="s">
        <v>128</v>
      </c>
      <c r="D34" s="598">
        <v>0</v>
      </c>
      <c r="E34" s="599">
        <v>0</v>
      </c>
      <c r="F34" s="599">
        <v>0</v>
      </c>
      <c r="G34" s="599">
        <v>-0.53627511000000005</v>
      </c>
      <c r="H34" s="599">
        <v>-0.64945278000000006</v>
      </c>
      <c r="I34" s="599">
        <v>-9.6579280000000003E-2</v>
      </c>
      <c r="J34" s="599">
        <v>0</v>
      </c>
      <c r="K34" s="608">
        <v>0</v>
      </c>
    </row>
    <row r="35" spans="1:11" s="2" customFormat="1">
      <c r="A35" s="3">
        <v>10</v>
      </c>
      <c r="B35" s="521" t="s">
        <v>597</v>
      </c>
      <c r="C35" s="153" t="s">
        <v>128</v>
      </c>
      <c r="D35" s="598">
        <v>0</v>
      </c>
      <c r="E35" s="599">
        <v>-0.27850709999999984</v>
      </c>
      <c r="F35" s="599">
        <v>0</v>
      </c>
      <c r="G35" s="599">
        <v>0</v>
      </c>
      <c r="H35" s="599">
        <v>0</v>
      </c>
      <c r="I35" s="599">
        <v>0</v>
      </c>
      <c r="J35" s="599">
        <v>0</v>
      </c>
      <c r="K35" s="608">
        <v>0</v>
      </c>
    </row>
    <row r="36" spans="1:11" s="2" customFormat="1">
      <c r="A36" s="3">
        <v>11</v>
      </c>
      <c r="B36" s="521" t="s">
        <v>598</v>
      </c>
      <c r="C36" s="153" t="s">
        <v>128</v>
      </c>
      <c r="D36" s="598">
        <v>0</v>
      </c>
      <c r="E36" s="599">
        <v>0</v>
      </c>
      <c r="F36" s="599">
        <v>-0.16920134636929887</v>
      </c>
      <c r="G36" s="599">
        <v>-0.28240498999999997</v>
      </c>
      <c r="H36" s="599">
        <v>-0.25567138</v>
      </c>
      <c r="I36" s="599">
        <v>-0.25076649999999995</v>
      </c>
      <c r="J36" s="599">
        <v>-0.24188146999999999</v>
      </c>
      <c r="K36" s="608">
        <v>-0.14585161000000002</v>
      </c>
    </row>
    <row r="37" spans="1:11" s="2" customFormat="1">
      <c r="A37" s="3">
        <v>12</v>
      </c>
      <c r="B37" s="521" t="s">
        <v>599</v>
      </c>
      <c r="C37" s="153" t="s">
        <v>128</v>
      </c>
      <c r="D37" s="598">
        <v>0</v>
      </c>
      <c r="E37" s="599">
        <v>0.34851643999999998</v>
      </c>
      <c r="F37" s="599">
        <v>0.77391355999999989</v>
      </c>
      <c r="G37" s="599">
        <v>1.5911100000000001E-2</v>
      </c>
      <c r="H37" s="599">
        <v>0</v>
      </c>
      <c r="I37" s="599">
        <v>0</v>
      </c>
      <c r="J37" s="599">
        <v>0</v>
      </c>
      <c r="K37" s="608">
        <v>0</v>
      </c>
    </row>
    <row r="38" spans="1:11" s="2" customFormat="1">
      <c r="A38" s="3">
        <v>13</v>
      </c>
      <c r="B38" s="521" t="s">
        <v>600</v>
      </c>
      <c r="C38" s="153" t="s">
        <v>128</v>
      </c>
      <c r="D38" s="598">
        <v>0</v>
      </c>
      <c r="E38" s="599">
        <v>0</v>
      </c>
      <c r="F38" s="599">
        <v>1.7787329999999999</v>
      </c>
      <c r="G38" s="599">
        <v>-0.92994840999999995</v>
      </c>
      <c r="H38" s="599">
        <v>1.1371968539600001</v>
      </c>
      <c r="I38" s="599">
        <v>-3.999465780000086E-2</v>
      </c>
      <c r="J38" s="599">
        <v>0.69368593414000213</v>
      </c>
      <c r="K38" s="608">
        <v>-0.2115555299500009</v>
      </c>
    </row>
    <row r="39" spans="1:11" s="2" customFormat="1">
      <c r="A39" s="3">
        <v>14</v>
      </c>
      <c r="B39" s="521" t="s">
        <v>601</v>
      </c>
      <c r="C39" s="153" t="s">
        <v>128</v>
      </c>
      <c r="D39" s="598">
        <v>0</v>
      </c>
      <c r="E39" s="599">
        <v>0</v>
      </c>
      <c r="F39" s="599">
        <v>0</v>
      </c>
      <c r="G39" s="599">
        <v>0</v>
      </c>
      <c r="H39" s="599">
        <v>-4.94383631</v>
      </c>
      <c r="I39" s="599">
        <v>1.3344078699999999</v>
      </c>
      <c r="J39" s="599">
        <v>0.8106233100000001</v>
      </c>
      <c r="K39" s="608">
        <v>-0.18171640999999991</v>
      </c>
    </row>
    <row r="40" spans="1:11" s="2" customFormat="1">
      <c r="A40" s="3">
        <v>15</v>
      </c>
      <c r="B40" s="521" t="s">
        <v>602</v>
      </c>
      <c r="C40" s="153" t="s">
        <v>128</v>
      </c>
      <c r="D40" s="598">
        <v>0</v>
      </c>
      <c r="E40" s="599">
        <v>0</v>
      </c>
      <c r="F40" s="599">
        <v>0</v>
      </c>
      <c r="G40" s="599">
        <v>1.4492579999999533E-2</v>
      </c>
      <c r="H40" s="599">
        <v>4.2662610000000101E-2</v>
      </c>
      <c r="I40" s="599">
        <v>1.9901329999999724E-2</v>
      </c>
      <c r="J40" s="599">
        <v>0.40141749220613299</v>
      </c>
      <c r="K40" s="608">
        <v>0</v>
      </c>
    </row>
    <row r="41" spans="1:11" s="2" customFormat="1">
      <c r="A41" s="3">
        <v>16</v>
      </c>
      <c r="B41" s="521" t="s">
        <v>603</v>
      </c>
      <c r="C41" s="153" t="s">
        <v>128</v>
      </c>
      <c r="D41" s="598">
        <v>0</v>
      </c>
      <c r="E41" s="599">
        <v>0</v>
      </c>
      <c r="F41" s="599">
        <v>0</v>
      </c>
      <c r="G41" s="599">
        <v>0.13</v>
      </c>
      <c r="H41" s="599">
        <v>0.11</v>
      </c>
      <c r="I41" s="599">
        <v>9.9999999999999992E-2</v>
      </c>
      <c r="J41" s="599">
        <v>0</v>
      </c>
      <c r="K41" s="608">
        <v>4.9999999999999989E-2</v>
      </c>
    </row>
    <row r="42" spans="1:11" s="2" customFormat="1">
      <c r="A42" s="3">
        <v>17</v>
      </c>
      <c r="B42" s="521" t="s">
        <v>604</v>
      </c>
      <c r="C42" s="153" t="s">
        <v>128</v>
      </c>
      <c r="D42" s="598">
        <v>0</v>
      </c>
      <c r="E42" s="599">
        <v>0</v>
      </c>
      <c r="F42" s="599">
        <v>0</v>
      </c>
      <c r="G42" s="599">
        <v>0</v>
      </c>
      <c r="H42" s="599">
        <v>0</v>
      </c>
      <c r="I42" s="599">
        <v>0</v>
      </c>
      <c r="J42" s="599">
        <v>-0.14673310000000001</v>
      </c>
      <c r="K42" s="608">
        <v>0</v>
      </c>
    </row>
    <row r="43" spans="1:11" s="2" customFormat="1">
      <c r="A43" s="3">
        <v>18</v>
      </c>
      <c r="B43" s="521" t="s">
        <v>605</v>
      </c>
      <c r="C43" s="153" t="s">
        <v>128</v>
      </c>
      <c r="D43" s="598">
        <v>0</v>
      </c>
      <c r="E43" s="599">
        <v>0</v>
      </c>
      <c r="F43" s="599">
        <v>0</v>
      </c>
      <c r="G43" s="599">
        <v>0</v>
      </c>
      <c r="H43" s="599">
        <v>0</v>
      </c>
      <c r="I43" s="599">
        <v>0</v>
      </c>
      <c r="J43" s="599">
        <v>0</v>
      </c>
      <c r="K43" s="608">
        <v>-79.32949428000002</v>
      </c>
    </row>
    <row r="44" spans="1:11" s="2" customFormat="1">
      <c r="A44" s="3">
        <v>19</v>
      </c>
      <c r="B44" s="521" t="s">
        <v>576</v>
      </c>
      <c r="C44" s="153" t="s">
        <v>128</v>
      </c>
      <c r="D44" s="598">
        <v>0</v>
      </c>
      <c r="E44" s="599">
        <v>0</v>
      </c>
      <c r="F44" s="599">
        <v>0</v>
      </c>
      <c r="G44" s="599">
        <v>0</v>
      </c>
      <c r="H44" s="599">
        <v>0</v>
      </c>
      <c r="I44" s="599">
        <v>0</v>
      </c>
      <c r="J44" s="599">
        <v>0</v>
      </c>
      <c r="K44" s="608">
        <v>0</v>
      </c>
    </row>
    <row r="45" spans="1:11" s="2" customFormat="1">
      <c r="A45" s="3">
        <v>20</v>
      </c>
      <c r="B45" s="521" t="s">
        <v>576</v>
      </c>
      <c r="C45" s="153" t="s">
        <v>128</v>
      </c>
      <c r="D45" s="598">
        <v>0</v>
      </c>
      <c r="E45" s="599">
        <v>0</v>
      </c>
      <c r="F45" s="599">
        <v>0</v>
      </c>
      <c r="G45" s="599">
        <v>0</v>
      </c>
      <c r="H45" s="599">
        <v>0</v>
      </c>
      <c r="I45" s="599">
        <v>0</v>
      </c>
      <c r="J45" s="599">
        <v>0</v>
      </c>
      <c r="K45" s="608">
        <v>0</v>
      </c>
    </row>
    <row r="46" spans="1:11" s="2" customFormat="1">
      <c r="B46" s="12" t="s">
        <v>384</v>
      </c>
      <c r="C46" s="153" t="s">
        <v>128</v>
      </c>
      <c r="D46" s="612">
        <f>SUM(D26:D45)</f>
        <v>17.988947078369513</v>
      </c>
      <c r="E46" s="613">
        <f t="shared" ref="E46:K46" si="3">SUM(E26:E45)</f>
        <v>4.5806417300000017</v>
      </c>
      <c r="F46" s="613">
        <f t="shared" si="3"/>
        <v>24.911824763630698</v>
      </c>
      <c r="G46" s="613">
        <f t="shared" si="3"/>
        <v>3.311181825999995</v>
      </c>
      <c r="H46" s="613">
        <f t="shared" si="3"/>
        <v>5.2051652939599986</v>
      </c>
      <c r="I46" s="613">
        <f t="shared" si="3"/>
        <v>18.404640942199997</v>
      </c>
      <c r="J46" s="613">
        <f t="shared" si="3"/>
        <v>37.446247866346233</v>
      </c>
      <c r="K46" s="614">
        <f t="shared" si="3"/>
        <v>-46.514322141083973</v>
      </c>
    </row>
    <row r="47" spans="1:11" s="2" customFormat="1">
      <c r="C47" s="137"/>
      <c r="D47" s="53"/>
      <c r="E47" s="52"/>
      <c r="F47" s="52"/>
      <c r="G47" s="52"/>
      <c r="H47" s="52"/>
      <c r="I47" s="52"/>
      <c r="J47" s="52"/>
      <c r="K47" s="52"/>
    </row>
    <row r="48" spans="1:11" s="2" customFormat="1">
      <c r="B48" s="12" t="s">
        <v>430</v>
      </c>
      <c r="C48" s="153" t="s">
        <v>128</v>
      </c>
      <c r="D48" s="612">
        <f>D46+D23</f>
        <v>334.86273641951652</v>
      </c>
      <c r="E48" s="613">
        <f t="shared" ref="E48:K48" si="4">E46+E23</f>
        <v>294.61413102</v>
      </c>
      <c r="F48" s="613">
        <f t="shared" si="4"/>
        <v>340.69851073363071</v>
      </c>
      <c r="G48" s="613">
        <f t="shared" si="4"/>
        <v>355.46361814300002</v>
      </c>
      <c r="H48" s="613">
        <f t="shared" si="4"/>
        <v>338.62838471696</v>
      </c>
      <c r="I48" s="613">
        <f t="shared" si="4"/>
        <v>331.01328304220004</v>
      </c>
      <c r="J48" s="613">
        <f t="shared" si="4"/>
        <v>361.21993642414003</v>
      </c>
      <c r="K48" s="614">
        <f t="shared" si="4"/>
        <v>412.62213678562534</v>
      </c>
    </row>
    <row r="49" spans="1:11" s="2" customFormat="1">
      <c r="B49" s="2" t="s">
        <v>385</v>
      </c>
      <c r="C49" s="153" t="s">
        <v>128</v>
      </c>
      <c r="D49" s="596">
        <v>334.87706273696244</v>
      </c>
      <c r="E49" s="597">
        <v>294.61428262895106</v>
      </c>
      <c r="F49" s="597">
        <v>340.64386144195504</v>
      </c>
      <c r="G49" s="597">
        <v>355.56552431754028</v>
      </c>
      <c r="H49" s="597">
        <v>338.6342807204914</v>
      </c>
      <c r="I49" s="597">
        <v>331.01293043674843</v>
      </c>
      <c r="J49" s="597">
        <v>361.22213836973629</v>
      </c>
      <c r="K49" s="607">
        <v>412.64806120267684</v>
      </c>
    </row>
    <row r="50" spans="1:11" s="2" customFormat="1">
      <c r="C50" s="137" t="s">
        <v>388</v>
      </c>
      <c r="D50" s="643" t="str">
        <f>IF(D$5="Actuals",IF(ABS(D48-D49)&lt;1,"OK","ERROR"),"N/A")</f>
        <v>OK</v>
      </c>
      <c r="E50" s="644" t="str">
        <f t="shared" ref="E50:K50" si="5">IF(E$5="Actuals",IF(ABS(E48-E49)&lt;1,"OK","ERROR"),"N/A")</f>
        <v>OK</v>
      </c>
      <c r="F50" s="644" t="str">
        <f t="shared" si="5"/>
        <v>OK</v>
      </c>
      <c r="G50" s="644" t="str">
        <f t="shared" si="5"/>
        <v>OK</v>
      </c>
      <c r="H50" s="644" t="str">
        <f t="shared" si="5"/>
        <v>OK</v>
      </c>
      <c r="I50" s="644" t="str">
        <f t="shared" si="5"/>
        <v>OK</v>
      </c>
      <c r="J50" s="644" t="str">
        <f t="shared" si="5"/>
        <v>OK</v>
      </c>
      <c r="K50" s="645" t="str">
        <f t="shared" si="5"/>
        <v>OK</v>
      </c>
    </row>
    <row r="51" spans="1:11" s="2" customFormat="1">
      <c r="B51" s="2" t="s">
        <v>84</v>
      </c>
      <c r="C51" s="137"/>
      <c r="D51" s="54"/>
    </row>
    <row r="52" spans="1:11" s="2" customFormat="1">
      <c r="B52" s="12" t="s">
        <v>386</v>
      </c>
      <c r="C52" s="153"/>
      <c r="D52" s="54"/>
    </row>
    <row r="53" spans="1:11" s="2" customFormat="1">
      <c r="A53" s="3">
        <v>1</v>
      </c>
      <c r="B53" s="520" t="s">
        <v>595</v>
      </c>
      <c r="C53" s="153" t="s">
        <v>128</v>
      </c>
      <c r="D53" s="596">
        <v>11.000400000000001</v>
      </c>
      <c r="E53" s="597">
        <v>11.111206659510641</v>
      </c>
      <c r="F53" s="597">
        <v>16.954391999999999</v>
      </c>
      <c r="G53" s="597">
        <v>17.402840000000001</v>
      </c>
      <c r="H53" s="597">
        <v>17.934000000000001</v>
      </c>
      <c r="I53" s="597">
        <v>18.899999999999999</v>
      </c>
      <c r="J53" s="597">
        <v>19.400400000000001</v>
      </c>
      <c r="K53" s="607">
        <v>20.000399999999999</v>
      </c>
    </row>
    <row r="54" spans="1:11" s="2" customFormat="1">
      <c r="A54" s="3">
        <v>2</v>
      </c>
      <c r="B54" s="520" t="s">
        <v>606</v>
      </c>
      <c r="C54" s="153" t="s">
        <v>128</v>
      </c>
      <c r="D54" s="598">
        <v>0.12001889266475937</v>
      </c>
      <c r="E54" s="599">
        <v>0.20522187593440253</v>
      </c>
      <c r="F54" s="599">
        <v>0.24003460443445374</v>
      </c>
      <c r="G54" s="599">
        <v>0.12128624164708288</v>
      </c>
      <c r="H54" s="599">
        <v>0.13951224885153768</v>
      </c>
      <c r="I54" s="599">
        <v>0.13799187553898037</v>
      </c>
      <c r="J54" s="599">
        <v>0.2536572385960969</v>
      </c>
      <c r="K54" s="608">
        <v>0.34395434999999996</v>
      </c>
    </row>
    <row r="55" spans="1:11" s="2" customFormat="1">
      <c r="A55" s="3">
        <v>3</v>
      </c>
      <c r="B55" s="520" t="s">
        <v>607</v>
      </c>
      <c r="C55" s="153" t="s">
        <v>128</v>
      </c>
      <c r="D55" s="598">
        <v>0.76358499999999996</v>
      </c>
      <c r="E55" s="599">
        <v>0.22807599999999995</v>
      </c>
      <c r="F55" s="599">
        <v>-3.585143291624294</v>
      </c>
      <c r="G55" s="599">
        <v>-5.737533642999999</v>
      </c>
      <c r="H55" s="599">
        <v>-2.3498591181491482</v>
      </c>
      <c r="I55" s="599">
        <v>1.0997919866388788</v>
      </c>
      <c r="J55" s="599">
        <v>6.4143690345494795</v>
      </c>
      <c r="K55" s="608">
        <v>12.7779419</v>
      </c>
    </row>
    <row r="56" spans="1:11" s="2" customFormat="1">
      <c r="A56" s="3">
        <v>4</v>
      </c>
      <c r="B56" s="520" t="s">
        <v>608</v>
      </c>
      <c r="C56" s="153" t="s">
        <v>128</v>
      </c>
      <c r="D56" s="598">
        <v>0.50000000199999994</v>
      </c>
      <c r="E56" s="599">
        <v>0.179504997</v>
      </c>
      <c r="F56" s="599">
        <v>1.425001E-3</v>
      </c>
      <c r="G56" s="599">
        <v>-0.84107999899999997</v>
      </c>
      <c r="H56" s="599">
        <v>0</v>
      </c>
      <c r="I56" s="599">
        <v>0</v>
      </c>
      <c r="J56" s="599">
        <v>0</v>
      </c>
      <c r="K56" s="608">
        <v>0</v>
      </c>
    </row>
    <row r="57" spans="1:11" s="2" customFormat="1">
      <c r="A57" s="3">
        <v>5</v>
      </c>
      <c r="B57" s="520" t="s">
        <v>609</v>
      </c>
      <c r="C57" s="153" t="s">
        <v>128</v>
      </c>
      <c r="D57" s="598">
        <v>18.956565574778494</v>
      </c>
      <c r="E57" s="599">
        <v>14.275960056066184</v>
      </c>
      <c r="F57" s="599">
        <v>21.477909935832681</v>
      </c>
      <c r="G57" s="599">
        <v>18.709284858914423</v>
      </c>
      <c r="H57" s="599">
        <v>15.258619674819968</v>
      </c>
      <c r="I57" s="599">
        <v>12.774303683947924</v>
      </c>
      <c r="J57" s="599">
        <v>11.268329133532047</v>
      </c>
      <c r="K57" s="608">
        <v>10.493687862810761</v>
      </c>
    </row>
    <row r="58" spans="1:11" s="2" customFormat="1">
      <c r="A58" s="3">
        <v>6</v>
      </c>
      <c r="B58" s="520" t="s">
        <v>610</v>
      </c>
      <c r="C58" s="153" t="s">
        <v>128</v>
      </c>
      <c r="D58" s="598">
        <v>45.341787163580527</v>
      </c>
      <c r="E58" s="599">
        <v>48.216241381296946</v>
      </c>
      <c r="F58" s="599">
        <v>46.960026271591637</v>
      </c>
      <c r="G58" s="599">
        <v>49.135207251000004</v>
      </c>
      <c r="H58" s="599">
        <v>49.419864095017651</v>
      </c>
      <c r="I58" s="599">
        <v>50.547814232797933</v>
      </c>
      <c r="J58" s="599">
        <v>48.844067353987079</v>
      </c>
      <c r="K58" s="608">
        <v>48.076839682136345</v>
      </c>
    </row>
    <row r="59" spans="1:11" s="2" customFormat="1">
      <c r="A59" s="3">
        <v>7</v>
      </c>
      <c r="B59" s="520" t="s">
        <v>611</v>
      </c>
      <c r="C59" s="153" t="s">
        <v>128</v>
      </c>
      <c r="D59" s="598">
        <v>10.887017504208734</v>
      </c>
      <c r="E59" s="599">
        <v>8.2348628787701461</v>
      </c>
      <c r="F59" s="599">
        <v>5.3698531168405967</v>
      </c>
      <c r="G59" s="599">
        <v>5.0472079789999995</v>
      </c>
      <c r="H59" s="599">
        <v>4.1626817997937282</v>
      </c>
      <c r="I59" s="599">
        <v>3.408386441611563</v>
      </c>
      <c r="J59" s="599">
        <v>4.2162821963248396</v>
      </c>
      <c r="K59" s="608">
        <v>5.9791129557343279</v>
      </c>
    </row>
    <row r="60" spans="1:11" s="2" customFormat="1">
      <c r="A60" s="3">
        <v>8</v>
      </c>
      <c r="B60" s="520" t="s">
        <v>612</v>
      </c>
      <c r="C60" s="153" t="s">
        <v>128</v>
      </c>
      <c r="D60" s="598">
        <v>1.90117208224</v>
      </c>
      <c r="E60" s="599">
        <v>0</v>
      </c>
      <c r="F60" s="599">
        <v>0</v>
      </c>
      <c r="G60" s="599">
        <v>3.7297409999999996E-2</v>
      </c>
      <c r="H60" s="599">
        <v>0</v>
      </c>
      <c r="I60" s="599">
        <v>0</v>
      </c>
      <c r="J60" s="599">
        <v>0</v>
      </c>
      <c r="K60" s="608">
        <v>0</v>
      </c>
    </row>
    <row r="61" spans="1:11" s="2" customFormat="1">
      <c r="A61" s="3">
        <v>9</v>
      </c>
      <c r="B61" s="520" t="s">
        <v>613</v>
      </c>
      <c r="C61" s="153" t="s">
        <v>128</v>
      </c>
      <c r="D61" s="598">
        <v>0.9422466722177909</v>
      </c>
      <c r="E61" s="599">
        <v>0.55111926030378955</v>
      </c>
      <c r="F61" s="599">
        <v>0.8074036109999998</v>
      </c>
      <c r="G61" s="599">
        <v>0.77347564499999966</v>
      </c>
      <c r="H61" s="599">
        <v>0.97412203899999994</v>
      </c>
      <c r="I61" s="599">
        <v>1.3802999512441834</v>
      </c>
      <c r="J61" s="599">
        <v>5.2641608284999997</v>
      </c>
      <c r="K61" s="608">
        <v>1.62440258461905</v>
      </c>
    </row>
    <row r="62" spans="1:11" s="2" customFormat="1">
      <c r="A62" s="3">
        <v>10</v>
      </c>
      <c r="B62" s="520" t="s">
        <v>614</v>
      </c>
      <c r="C62" s="153" t="s">
        <v>128</v>
      </c>
      <c r="D62" s="598">
        <v>0</v>
      </c>
      <c r="E62" s="599">
        <v>0</v>
      </c>
      <c r="F62" s="599">
        <v>-2.1567791563692986</v>
      </c>
      <c r="G62" s="599">
        <v>1.4036847704033464</v>
      </c>
      <c r="H62" s="599">
        <v>0.45687929148604212</v>
      </c>
      <c r="I62" s="599">
        <v>0.21643789832195062</v>
      </c>
      <c r="J62" s="599">
        <v>0.92374278940532872</v>
      </c>
      <c r="K62" s="608">
        <v>1.4689863282119917</v>
      </c>
    </row>
    <row r="63" spans="1:11" s="2" customFormat="1">
      <c r="A63" s="3">
        <v>11</v>
      </c>
      <c r="B63" s="520" t="s">
        <v>615</v>
      </c>
      <c r="C63" s="153" t="s">
        <v>128</v>
      </c>
      <c r="D63" s="598">
        <v>0</v>
      </c>
      <c r="E63" s="599">
        <v>0</v>
      </c>
      <c r="F63" s="599">
        <v>0</v>
      </c>
      <c r="G63" s="599">
        <v>0</v>
      </c>
      <c r="H63" s="599">
        <v>0</v>
      </c>
      <c r="I63" s="599">
        <v>0</v>
      </c>
      <c r="J63" s="599">
        <v>0.4214211000000001</v>
      </c>
      <c r="K63" s="608">
        <v>0</v>
      </c>
    </row>
    <row r="64" spans="1:11" s="2" customFormat="1">
      <c r="A64" s="3">
        <v>12</v>
      </c>
      <c r="B64" s="520" t="s">
        <v>576</v>
      </c>
      <c r="C64" s="153" t="s">
        <v>128</v>
      </c>
      <c r="D64" s="598">
        <v>0</v>
      </c>
      <c r="E64" s="599">
        <v>0</v>
      </c>
      <c r="F64" s="599">
        <v>0</v>
      </c>
      <c r="G64" s="599">
        <v>0</v>
      </c>
      <c r="H64" s="599">
        <v>0</v>
      </c>
      <c r="I64" s="599">
        <v>0</v>
      </c>
      <c r="J64" s="599">
        <v>0</v>
      </c>
      <c r="K64" s="608">
        <v>0</v>
      </c>
    </row>
    <row r="65" spans="1:11" s="2" customFormat="1">
      <c r="A65" s="3">
        <v>13</v>
      </c>
      <c r="B65" s="520" t="s">
        <v>576</v>
      </c>
      <c r="C65" s="153" t="s">
        <v>128</v>
      </c>
      <c r="D65" s="598">
        <v>0</v>
      </c>
      <c r="E65" s="599">
        <v>0</v>
      </c>
      <c r="F65" s="599">
        <v>0</v>
      </c>
      <c r="G65" s="599">
        <v>0</v>
      </c>
      <c r="H65" s="599">
        <v>0</v>
      </c>
      <c r="I65" s="599">
        <v>0</v>
      </c>
      <c r="J65" s="599">
        <v>0</v>
      </c>
      <c r="K65" s="608">
        <v>0</v>
      </c>
    </row>
    <row r="66" spans="1:11" s="2" customFormat="1">
      <c r="A66" s="3">
        <v>14</v>
      </c>
      <c r="B66" s="520" t="s">
        <v>576</v>
      </c>
      <c r="C66" s="153" t="s">
        <v>128</v>
      </c>
      <c r="D66" s="598">
        <v>0</v>
      </c>
      <c r="E66" s="599">
        <v>0</v>
      </c>
      <c r="F66" s="599">
        <v>0</v>
      </c>
      <c r="G66" s="599">
        <v>0</v>
      </c>
      <c r="H66" s="599">
        <v>0</v>
      </c>
      <c r="I66" s="599">
        <v>0</v>
      </c>
      <c r="J66" s="599">
        <v>0</v>
      </c>
      <c r="K66" s="608">
        <v>0</v>
      </c>
    </row>
    <row r="67" spans="1:11" s="2" customFormat="1">
      <c r="A67" s="3">
        <v>15</v>
      </c>
      <c r="B67" s="520" t="s">
        <v>576</v>
      </c>
      <c r="C67" s="153" t="s">
        <v>128</v>
      </c>
      <c r="D67" s="598">
        <v>0</v>
      </c>
      <c r="E67" s="599">
        <v>0</v>
      </c>
      <c r="F67" s="599">
        <v>0</v>
      </c>
      <c r="G67" s="599">
        <v>0</v>
      </c>
      <c r="H67" s="599">
        <v>0</v>
      </c>
      <c r="I67" s="599">
        <v>0</v>
      </c>
      <c r="J67" s="599">
        <v>0</v>
      </c>
      <c r="K67" s="608">
        <v>0</v>
      </c>
    </row>
    <row r="68" spans="1:11" s="2" customFormat="1">
      <c r="A68" s="3">
        <v>16</v>
      </c>
      <c r="B68" s="520" t="s">
        <v>576</v>
      </c>
      <c r="C68" s="153" t="s">
        <v>128</v>
      </c>
      <c r="D68" s="598">
        <v>0</v>
      </c>
      <c r="E68" s="599">
        <v>0</v>
      </c>
      <c r="F68" s="599">
        <v>0</v>
      </c>
      <c r="G68" s="599">
        <v>0</v>
      </c>
      <c r="H68" s="599">
        <v>0</v>
      </c>
      <c r="I68" s="599">
        <v>0</v>
      </c>
      <c r="J68" s="599">
        <v>0</v>
      </c>
      <c r="K68" s="608">
        <v>0</v>
      </c>
    </row>
    <row r="69" spans="1:11" s="2" customFormat="1">
      <c r="A69" s="3">
        <v>17</v>
      </c>
      <c r="B69" s="520" t="s">
        <v>576</v>
      </c>
      <c r="C69" s="153" t="s">
        <v>128</v>
      </c>
      <c r="D69" s="598">
        <v>0</v>
      </c>
      <c r="E69" s="599">
        <v>0</v>
      </c>
      <c r="F69" s="599">
        <v>0</v>
      </c>
      <c r="G69" s="599">
        <v>0</v>
      </c>
      <c r="H69" s="599">
        <v>0</v>
      </c>
      <c r="I69" s="599">
        <v>0</v>
      </c>
      <c r="J69" s="599">
        <v>0</v>
      </c>
      <c r="K69" s="608">
        <v>0</v>
      </c>
    </row>
    <row r="70" spans="1:11" s="2" customFormat="1">
      <c r="A70" s="3">
        <v>18</v>
      </c>
      <c r="B70" s="520" t="s">
        <v>576</v>
      </c>
      <c r="C70" s="153" t="s">
        <v>128</v>
      </c>
      <c r="D70" s="598">
        <v>0</v>
      </c>
      <c r="E70" s="599">
        <v>0</v>
      </c>
      <c r="F70" s="599">
        <v>0</v>
      </c>
      <c r="G70" s="599">
        <v>0</v>
      </c>
      <c r="H70" s="599">
        <v>0</v>
      </c>
      <c r="I70" s="599">
        <v>0</v>
      </c>
      <c r="J70" s="599">
        <v>0</v>
      </c>
      <c r="K70" s="608">
        <v>0</v>
      </c>
    </row>
    <row r="71" spans="1:11" s="2" customFormat="1">
      <c r="A71" s="3">
        <v>19</v>
      </c>
      <c r="B71" s="520" t="s">
        <v>576</v>
      </c>
      <c r="C71" s="153" t="s">
        <v>128</v>
      </c>
      <c r="D71" s="598">
        <v>0</v>
      </c>
      <c r="E71" s="599">
        <v>0</v>
      </c>
      <c r="F71" s="599">
        <v>0</v>
      </c>
      <c r="G71" s="599">
        <v>0</v>
      </c>
      <c r="H71" s="599">
        <v>0</v>
      </c>
      <c r="I71" s="599">
        <v>0</v>
      </c>
      <c r="J71" s="599">
        <v>0</v>
      </c>
      <c r="K71" s="608">
        <v>0</v>
      </c>
    </row>
    <row r="72" spans="1:11" s="2" customFormat="1">
      <c r="A72" s="3">
        <v>20</v>
      </c>
      <c r="B72" s="520" t="s">
        <v>576</v>
      </c>
      <c r="C72" s="153" t="s">
        <v>128</v>
      </c>
      <c r="D72" s="598">
        <v>0</v>
      </c>
      <c r="E72" s="599">
        <v>0</v>
      </c>
      <c r="F72" s="599">
        <v>0</v>
      </c>
      <c r="G72" s="599">
        <v>0</v>
      </c>
      <c r="H72" s="599">
        <v>0</v>
      </c>
      <c r="I72" s="599">
        <v>0</v>
      </c>
      <c r="J72" s="599">
        <v>0</v>
      </c>
      <c r="K72" s="608">
        <v>0</v>
      </c>
    </row>
    <row r="73" spans="1:11" s="2" customFormat="1">
      <c r="A73" s="3">
        <v>21</v>
      </c>
      <c r="B73" s="520" t="s">
        <v>576</v>
      </c>
      <c r="C73" s="153" t="s">
        <v>128</v>
      </c>
      <c r="D73" s="598">
        <v>0</v>
      </c>
      <c r="E73" s="599">
        <v>0</v>
      </c>
      <c r="F73" s="599">
        <v>0</v>
      </c>
      <c r="G73" s="599">
        <v>0</v>
      </c>
      <c r="H73" s="599">
        <v>0</v>
      </c>
      <c r="I73" s="599">
        <v>0</v>
      </c>
      <c r="J73" s="599">
        <v>0</v>
      </c>
      <c r="K73" s="608">
        <v>0</v>
      </c>
    </row>
    <row r="74" spans="1:11" s="2" customFormat="1">
      <c r="A74" s="3">
        <v>22</v>
      </c>
      <c r="B74" s="520" t="s">
        <v>576</v>
      </c>
      <c r="C74" s="153" t="s">
        <v>128</v>
      </c>
      <c r="D74" s="598">
        <v>0</v>
      </c>
      <c r="E74" s="599">
        <v>0</v>
      </c>
      <c r="F74" s="599">
        <v>0</v>
      </c>
      <c r="G74" s="599">
        <v>0</v>
      </c>
      <c r="H74" s="599">
        <v>0</v>
      </c>
      <c r="I74" s="599">
        <v>0</v>
      </c>
      <c r="J74" s="599">
        <v>0</v>
      </c>
      <c r="K74" s="608">
        <v>0</v>
      </c>
    </row>
    <row r="75" spans="1:11" s="2" customFormat="1">
      <c r="A75" s="3">
        <v>23</v>
      </c>
      <c r="B75" s="520" t="s">
        <v>576</v>
      </c>
      <c r="C75" s="153" t="s">
        <v>128</v>
      </c>
      <c r="D75" s="598">
        <v>0</v>
      </c>
      <c r="E75" s="599">
        <v>0</v>
      </c>
      <c r="F75" s="599">
        <v>0</v>
      </c>
      <c r="G75" s="599">
        <v>0</v>
      </c>
      <c r="H75" s="599">
        <v>0</v>
      </c>
      <c r="I75" s="599">
        <v>0</v>
      </c>
      <c r="J75" s="599">
        <v>0</v>
      </c>
      <c r="K75" s="608">
        <v>0</v>
      </c>
    </row>
    <row r="76" spans="1:11" s="2" customFormat="1">
      <c r="A76" s="3">
        <v>24</v>
      </c>
      <c r="B76" s="520" t="s">
        <v>576</v>
      </c>
      <c r="C76" s="153" t="s">
        <v>128</v>
      </c>
      <c r="D76" s="598">
        <v>0</v>
      </c>
      <c r="E76" s="599">
        <v>0</v>
      </c>
      <c r="F76" s="599">
        <v>0</v>
      </c>
      <c r="G76" s="599">
        <v>0</v>
      </c>
      <c r="H76" s="599">
        <v>0</v>
      </c>
      <c r="I76" s="599">
        <v>0</v>
      </c>
      <c r="J76" s="599">
        <v>0</v>
      </c>
      <c r="K76" s="608">
        <v>0</v>
      </c>
    </row>
    <row r="77" spans="1:11" s="2" customFormat="1">
      <c r="A77" s="3">
        <v>25</v>
      </c>
      <c r="B77" s="520" t="s">
        <v>576</v>
      </c>
      <c r="C77" s="153" t="s">
        <v>128</v>
      </c>
      <c r="D77" s="634">
        <v>0</v>
      </c>
      <c r="E77" s="635">
        <v>0</v>
      </c>
      <c r="F77" s="635">
        <v>0</v>
      </c>
      <c r="G77" s="635">
        <v>0</v>
      </c>
      <c r="H77" s="635">
        <v>0</v>
      </c>
      <c r="I77" s="635">
        <v>0</v>
      </c>
      <c r="J77" s="635">
        <v>0</v>
      </c>
      <c r="K77" s="636">
        <v>0</v>
      </c>
    </row>
    <row r="78" spans="1:11" s="2" customFormat="1">
      <c r="B78" s="12" t="s">
        <v>170</v>
      </c>
      <c r="C78" s="153" t="s">
        <v>128</v>
      </c>
      <c r="D78" s="612">
        <f>SUM(D53:D77)</f>
        <v>90.412792891690302</v>
      </c>
      <c r="E78" s="613">
        <f t="shared" ref="E78:K78" si="6">SUM(E53:E77)</f>
        <v>83.002193108882111</v>
      </c>
      <c r="F78" s="613">
        <f t="shared" si="6"/>
        <v>86.069122092705783</v>
      </c>
      <c r="G78" s="613">
        <f t="shared" si="6"/>
        <v>86.051670513964865</v>
      </c>
      <c r="H78" s="613">
        <f t="shared" si="6"/>
        <v>85.995820030819786</v>
      </c>
      <c r="I78" s="613">
        <f t="shared" si="6"/>
        <v>88.465026070101416</v>
      </c>
      <c r="J78" s="613">
        <f t="shared" si="6"/>
        <v>97.006429674894875</v>
      </c>
      <c r="K78" s="614">
        <f t="shared" si="6"/>
        <v>100.76532566351247</v>
      </c>
    </row>
    <row r="79" spans="1:11" s="2" customFormat="1">
      <c r="C79" s="137"/>
      <c r="D79" s="53"/>
      <c r="E79" s="52"/>
      <c r="F79" s="52"/>
      <c r="G79" s="52"/>
      <c r="H79" s="52"/>
      <c r="I79" s="52"/>
      <c r="J79" s="52"/>
      <c r="K79" s="52"/>
    </row>
    <row r="80" spans="1:11" s="2" customFormat="1">
      <c r="B80" s="12" t="s">
        <v>387</v>
      </c>
      <c r="C80" s="153" t="s">
        <v>128</v>
      </c>
      <c r="D80" s="612">
        <f>D48-D78</f>
        <v>244.44994352782624</v>
      </c>
      <c r="E80" s="613">
        <f t="shared" ref="E80:K80" si="7">E48-E78</f>
        <v>211.61193791111788</v>
      </c>
      <c r="F80" s="613">
        <f t="shared" si="7"/>
        <v>254.62938864092493</v>
      </c>
      <c r="G80" s="613">
        <f t="shared" si="7"/>
        <v>269.41194762903513</v>
      </c>
      <c r="H80" s="613">
        <f t="shared" si="7"/>
        <v>252.6325646861402</v>
      </c>
      <c r="I80" s="613">
        <f t="shared" si="7"/>
        <v>242.54825697209861</v>
      </c>
      <c r="J80" s="613">
        <f t="shared" si="7"/>
        <v>264.21350674924514</v>
      </c>
      <c r="K80" s="614">
        <f t="shared" si="7"/>
        <v>311.85681112211284</v>
      </c>
    </row>
    <row r="81" spans="2:11" s="2" customFormat="1">
      <c r="B81" s="12" t="s">
        <v>475</v>
      </c>
      <c r="C81" s="153" t="s">
        <v>128</v>
      </c>
      <c r="D81" s="646">
        <f>'R4 - Totex'!D90+'R4 - Totex'!D118</f>
        <v>244.41971962242587</v>
      </c>
      <c r="E81" s="647">
        <f>'R4 - Totex'!E90+'R4 - Totex'!E118</f>
        <v>211.60842556006889</v>
      </c>
      <c r="F81" s="647">
        <f>'R4 - Totex'!F90+'R4 - Totex'!F118</f>
        <v>254.61943506924936</v>
      </c>
      <c r="G81" s="647">
        <f>'R4 - Totex'!G90+'R4 - Totex'!G118</f>
        <v>269.41690344357545</v>
      </c>
      <c r="H81" s="647">
        <f>'R4 - Totex'!H90+'R4 - Totex'!H118</f>
        <v>252.63846065967167</v>
      </c>
      <c r="I81" s="647">
        <f>'R4 - Totex'!I90+'R4 - Totex'!I118</f>
        <v>242.54790436664697</v>
      </c>
      <c r="J81" s="647">
        <f>'R4 - Totex'!J90+'R4 - Totex'!J118</f>
        <v>264.2157086948414</v>
      </c>
      <c r="K81" s="647">
        <f>'R4 - Totex'!K90+'R4 - Totex'!K118</f>
        <v>311.88273763588961</v>
      </c>
    </row>
    <row r="82" spans="2:11" s="2" customFormat="1">
      <c r="C82" s="137" t="s">
        <v>388</v>
      </c>
      <c r="D82" s="574" t="str">
        <f>IF(D$5="Actuals",IF(ABS(D80-('R4 - Totex'!D90+'R4 - Totex'!D118))&lt;'RFPR cover'!$F$14,"OK","Error"),"N/A")</f>
        <v>OK</v>
      </c>
      <c r="E82" s="574" t="str">
        <f>IF(E$5="Actuals",IF(ABS(E80-('R4 - Totex'!E90+'R4 - Totex'!E118))&lt;'RFPR cover'!$F$14,"OK","Error"),"N/A")</f>
        <v>OK</v>
      </c>
      <c r="F82" s="574" t="str">
        <f>IF(F$5="Actuals",IF(ABS(F80-('R4 - Totex'!F90+'R4 - Totex'!F118))&lt;'RFPR cover'!$F$14,"OK","Error"),"N/A")</f>
        <v>OK</v>
      </c>
      <c r="G82" s="574" t="str">
        <f>IF(G$5="Actuals",IF(ABS(G80-('R4 - Totex'!G90+'R4 - Totex'!G118))&lt;'RFPR cover'!$F$14,"OK","Error"),"N/A")</f>
        <v>OK</v>
      </c>
      <c r="H82" s="574" t="str">
        <f>IF(H$5="Actuals",IF(ABS(H80-('R4 - Totex'!H90+'R4 - Totex'!H118))&lt;'RFPR cover'!$F$14,"OK","Error"),"N/A")</f>
        <v>OK</v>
      </c>
      <c r="I82" s="574" t="str">
        <f>IF(I$5="Actuals",IF(ABS(I80-('R4 - Totex'!I90+'R4 - Totex'!I118))&lt;'RFPR cover'!$F$14,"OK","Error"),"N/A")</f>
        <v>OK</v>
      </c>
      <c r="J82" s="574" t="str">
        <f>IF(J$5="Actuals",IF(ABS(J80-('R4 - Totex'!J90+'R4 - Totex'!J118))&lt;'RFPR cover'!$F$14,"OK","Error"),"N/A")</f>
        <v>OK</v>
      </c>
      <c r="K82" s="574" t="str">
        <f>IF(K$5="Actuals",IF(ABS(K80-('R4 - Totex'!K90+'R4 - Totex'!K118))&lt;'RFPR cover'!$F$14,"OK","Error"),"N/A")</f>
        <v>OK</v>
      </c>
    </row>
    <row r="83" spans="2:11" s="2" customFormat="1">
      <c r="C83" s="137"/>
    </row>
    <row r="84" spans="2:11">
      <c r="D84" s="216"/>
      <c r="E84" s="216"/>
      <c r="F84" s="216"/>
      <c r="G84" s="216"/>
      <c r="H84" s="216"/>
      <c r="I84" s="216"/>
      <c r="J84" s="216"/>
      <c r="K84" s="216"/>
    </row>
    <row r="85" spans="2:11">
      <c r="D85" s="216"/>
      <c r="E85" s="216"/>
      <c r="F85" s="216"/>
      <c r="G85" s="216"/>
      <c r="H85" s="216"/>
      <c r="I85" s="216"/>
      <c r="J85" s="216"/>
      <c r="K85" s="216"/>
    </row>
    <row r="86" spans="2:11">
      <c r="D86" s="216"/>
      <c r="E86" s="216"/>
      <c r="F86" s="216"/>
      <c r="G86" s="216"/>
      <c r="H86" s="216"/>
      <c r="I86" s="216"/>
      <c r="J86" s="216"/>
      <c r="K86" s="216"/>
    </row>
  </sheetData>
  <conditionalFormatting sqref="D6:J6">
    <cfRule type="expression" dxfId="54" priority="17">
      <formula>AND(D$5="Actuals",E$5="N/A")</formula>
    </cfRule>
  </conditionalFormatting>
  <conditionalFormatting sqref="D5:K5">
    <cfRule type="expression" dxfId="53" priority="8">
      <formula>AND(D$5="Actuals",E$5="N/A")</formula>
    </cfRule>
  </conditionalFormatting>
  <conditionalFormatting sqref="D9:K14 D26:K46 D48:K50 D53:K78 D80:K80 D82:K82 D18:K19 D23:K23">
    <cfRule type="expression" dxfId="52" priority="3">
      <formula>D$5="N/A"</formula>
    </cfRule>
  </conditionalFormatting>
  <conditionalFormatting sqref="D15:K17">
    <cfRule type="expression" dxfId="51" priority="2">
      <formula>D$5="N/A"</formula>
    </cfRule>
  </conditionalFormatting>
  <conditionalFormatting sqref="D20:K22">
    <cfRule type="expression" dxfId="50"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zoomScale="80" zoomScaleNormal="80" workbookViewId="0">
      <pane ySplit="6" topLeftCell="A7" activePane="bottomLeft" state="frozen"/>
      <selection activeCell="B75" sqref="A1:XFD1048576"/>
      <selection pane="bottomLeft" activeCell="K13" sqref="K13"/>
    </sheetView>
  </sheetViews>
  <sheetFormatPr defaultColWidth="9.125" defaultRowHeight="12.75"/>
  <cols>
    <col min="1" max="1" width="8.375" style="2" customWidth="1"/>
    <col min="2" max="2" width="75.5" style="130" customWidth="1"/>
    <col min="3" max="3" width="13.375" style="137" customWidth="1"/>
    <col min="4" max="11" width="11.125" style="2" customWidth="1"/>
    <col min="12" max="13" width="12.875" style="2" customWidth="1"/>
    <col min="14" max="14" width="25.5" style="2" customWidth="1"/>
    <col min="15" max="16384" width="9.125" style="2"/>
  </cols>
  <sheetData>
    <row r="1" spans="1:20" s="31" customFormat="1" ht="20.25">
      <c r="A1" s="911" t="s">
        <v>99</v>
      </c>
      <c r="B1" s="933"/>
      <c r="C1" s="279"/>
      <c r="D1" s="257"/>
      <c r="E1" s="257"/>
      <c r="F1" s="257"/>
      <c r="G1" s="257"/>
      <c r="H1" s="257"/>
      <c r="I1" s="258"/>
      <c r="J1" s="258"/>
      <c r="K1" s="259"/>
      <c r="L1" s="259"/>
      <c r="M1" s="259"/>
      <c r="N1" s="259"/>
      <c r="O1" s="365"/>
    </row>
    <row r="2" spans="1:20" s="31" customFormat="1" ht="20.25">
      <c r="A2" s="914" t="str">
        <f>'RFPR cover'!C5</f>
        <v>ENWL</v>
      </c>
      <c r="B2" s="927"/>
      <c r="C2" s="135"/>
      <c r="D2" s="29"/>
      <c r="E2" s="29"/>
      <c r="F2" s="29"/>
      <c r="G2" s="29"/>
      <c r="H2" s="29"/>
      <c r="I2" s="27"/>
      <c r="J2" s="27"/>
      <c r="K2" s="27"/>
      <c r="L2" s="27"/>
      <c r="M2" s="27"/>
      <c r="N2" s="27"/>
      <c r="O2" s="124"/>
    </row>
    <row r="3" spans="1:20" s="31" customFormat="1" ht="20.25">
      <c r="A3" s="917">
        <f>'RFPR cover'!C7</f>
        <v>2023</v>
      </c>
      <c r="B3" s="928"/>
      <c r="C3" s="278"/>
      <c r="D3" s="261"/>
      <c r="E3" s="261"/>
      <c r="F3" s="261"/>
      <c r="G3" s="261"/>
      <c r="H3" s="261"/>
      <c r="I3" s="256"/>
      <c r="J3" s="256"/>
      <c r="K3" s="256"/>
      <c r="L3" s="256"/>
      <c r="M3" s="256"/>
      <c r="N3" s="256"/>
      <c r="O3" s="262"/>
    </row>
    <row r="4" spans="1:20" ht="12.75" customHeight="1"/>
    <row r="5" spans="1:20" ht="12.75" customHeight="1">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Actuals</v>
      </c>
    </row>
    <row r="6" spans="1:20" ht="27.75" customHeight="1">
      <c r="B6" s="775"/>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2023</v>
      </c>
      <c r="M6" s="120" t="s">
        <v>109</v>
      </c>
      <c r="N6" s="120" t="s">
        <v>309</v>
      </c>
    </row>
    <row r="7" spans="1:20" s="35" customFormat="1">
      <c r="B7" s="776"/>
      <c r="C7" s="159"/>
      <c r="D7" s="58"/>
      <c r="E7" s="58"/>
      <c r="F7" s="58"/>
      <c r="G7" s="58"/>
      <c r="H7" s="58"/>
      <c r="I7" s="58"/>
      <c r="J7" s="58"/>
      <c r="K7" s="58"/>
      <c r="L7" s="58"/>
      <c r="M7" s="58"/>
      <c r="N7" s="58"/>
    </row>
    <row r="8" spans="1:20" s="35" customFormat="1">
      <c r="B8" s="777" t="s">
        <v>375</v>
      </c>
      <c r="C8" s="292"/>
      <c r="D8" s="322"/>
      <c r="E8" s="322"/>
      <c r="F8" s="322"/>
      <c r="G8" s="322"/>
      <c r="H8" s="322"/>
      <c r="I8" s="322"/>
      <c r="J8" s="322"/>
      <c r="K8" s="322"/>
      <c r="L8" s="322"/>
      <c r="M8" s="322"/>
      <c r="N8" s="322"/>
    </row>
    <row r="9" spans="1:20" s="35" customFormat="1">
      <c r="B9" s="776"/>
      <c r="C9" s="159"/>
      <c r="D9" s="58"/>
      <c r="E9" s="58"/>
      <c r="F9" s="58"/>
      <c r="G9" s="58"/>
      <c r="H9" s="58"/>
      <c r="I9" s="58"/>
      <c r="J9" s="58"/>
      <c r="K9" s="58"/>
      <c r="L9" s="58"/>
      <c r="M9" s="58"/>
      <c r="N9" s="58"/>
    </row>
    <row r="10" spans="1:20">
      <c r="A10" s="35"/>
      <c r="B10" s="778" t="str">
        <f>Data!B48</f>
        <v>Totex</v>
      </c>
      <c r="C10" s="151"/>
      <c r="D10" s="82"/>
      <c r="E10" s="82"/>
      <c r="F10" s="82"/>
      <c r="G10" s="82"/>
      <c r="H10" s="82"/>
      <c r="I10" s="82"/>
      <c r="J10" s="82"/>
      <c r="K10" s="82"/>
      <c r="L10" s="82"/>
      <c r="M10" s="82"/>
      <c r="N10" s="82"/>
    </row>
    <row r="11" spans="1:20" s="35" customFormat="1">
      <c r="B11" s="779"/>
      <c r="C11" s="139"/>
      <c r="D11" s="321"/>
      <c r="E11" s="321"/>
      <c r="F11" s="321"/>
      <c r="G11" s="321"/>
      <c r="H11" s="321"/>
      <c r="I11" s="321"/>
      <c r="J11" s="321"/>
      <c r="K11" s="321"/>
      <c r="L11" s="321"/>
      <c r="M11" s="321"/>
      <c r="N11" s="321"/>
    </row>
    <row r="12" spans="1:20">
      <c r="A12" s="35"/>
      <c r="B12" s="306" t="s">
        <v>34</v>
      </c>
      <c r="C12" s="156" t="str">
        <f>'RFPR cover'!$C$14</f>
        <v>£m 12/13</v>
      </c>
      <c r="D12" s="484">
        <v>230.51575897675721</v>
      </c>
      <c r="E12" s="485">
        <v>195.38435697647421</v>
      </c>
      <c r="F12" s="485">
        <v>226.61766945875925</v>
      </c>
      <c r="G12" s="485">
        <v>232.6781483405228</v>
      </c>
      <c r="H12" s="485">
        <v>212.68197769732237</v>
      </c>
      <c r="I12" s="485">
        <v>201.74053684100988</v>
      </c>
      <c r="J12" s="485">
        <v>207.76254676052142</v>
      </c>
      <c r="K12" s="485">
        <v>217.2728223037646</v>
      </c>
      <c r="L12" s="108">
        <f>SUM(D12:INDEX(D12:K12,0,MATCH('RFPR cover'!$C$7,$D$6:$K$6,0)))</f>
        <v>1724.6538173551317</v>
      </c>
      <c r="M12" s="109">
        <f>SUM(D12:K12)</f>
        <v>1724.6538173551317</v>
      </c>
      <c r="N12" s="63"/>
      <c r="O12" s="63"/>
    </row>
    <row r="13" spans="1:20" ht="25.5">
      <c r="A13" s="35"/>
      <c r="B13" s="780" t="s">
        <v>487</v>
      </c>
      <c r="C13" s="156" t="str">
        <f>'RFPR cover'!$C$14</f>
        <v>£m 12/13</v>
      </c>
      <c r="D13" s="486">
        <v>237.38409563223314</v>
      </c>
      <c r="E13" s="487">
        <v>226.8712195516996</v>
      </c>
      <c r="F13" s="487">
        <v>228.90919112650607</v>
      </c>
      <c r="G13" s="487">
        <v>231.23770416111643</v>
      </c>
      <c r="H13" s="487">
        <v>231.45141024987524</v>
      </c>
      <c r="I13" s="487">
        <v>236.53800168466668</v>
      </c>
      <c r="J13" s="487">
        <v>247.11112601866984</v>
      </c>
      <c r="K13" s="487">
        <v>233.17936919229007</v>
      </c>
      <c r="L13" s="106">
        <f>SUM(D13:INDEX(D13:K13,0,MATCH('RFPR cover'!$C$7,$D$6:$K$6,0)))</f>
        <v>1872.682117617057</v>
      </c>
      <c r="M13" s="107">
        <f>SUM(D13:K13)</f>
        <v>1872.682117617057</v>
      </c>
      <c r="N13" s="63"/>
      <c r="O13" s="63"/>
    </row>
    <row r="14" spans="1:20">
      <c r="A14" s="35"/>
      <c r="B14" s="781" t="s">
        <v>194</v>
      </c>
      <c r="C14" s="156" t="str">
        <f>'RFPR cover'!$C$14</f>
        <v>£m 12/13</v>
      </c>
      <c r="D14" s="103">
        <f>D13-D12</f>
        <v>6.8683366554759289</v>
      </c>
      <c r="E14" s="104">
        <f t="shared" ref="E14:M14" si="1">E13-E12</f>
        <v>31.486862575225388</v>
      </c>
      <c r="F14" s="104">
        <f t="shared" si="1"/>
        <v>2.2915216677468209</v>
      </c>
      <c r="G14" s="104">
        <f t="shared" si="1"/>
        <v>-1.44044417940637</v>
      </c>
      <c r="H14" s="104">
        <f t="shared" si="1"/>
        <v>18.769432552552871</v>
      </c>
      <c r="I14" s="104">
        <f t="shared" si="1"/>
        <v>34.797464843656797</v>
      </c>
      <c r="J14" s="104">
        <f t="shared" si="1"/>
        <v>39.348579258148419</v>
      </c>
      <c r="K14" s="104">
        <f t="shared" si="1"/>
        <v>15.906546888525469</v>
      </c>
      <c r="L14" s="103">
        <f t="shared" si="1"/>
        <v>148.02830026192532</v>
      </c>
      <c r="M14" s="105">
        <f t="shared" si="1"/>
        <v>148.02830026192532</v>
      </c>
      <c r="N14" s="63"/>
      <c r="O14" s="992"/>
      <c r="P14" s="992"/>
      <c r="Q14" s="992"/>
      <c r="R14"/>
      <c r="S14"/>
      <c r="T14"/>
    </row>
    <row r="15" spans="1:20">
      <c r="A15" s="35"/>
      <c r="B15" s="781"/>
      <c r="C15" s="156"/>
      <c r="D15" s="59"/>
      <c r="E15" s="59"/>
      <c r="F15" s="59"/>
      <c r="G15" s="59"/>
      <c r="H15" s="59"/>
      <c r="I15" s="59"/>
      <c r="J15" s="59"/>
      <c r="K15" s="59"/>
      <c r="L15" s="59"/>
      <c r="M15" s="59"/>
      <c r="O15" s="64"/>
      <c r="P15" s="64"/>
      <c r="Q15" s="64"/>
      <c r="R15"/>
      <c r="S15"/>
      <c r="T15"/>
    </row>
    <row r="16" spans="1:20">
      <c r="A16" s="35"/>
      <c r="B16" s="775" t="s">
        <v>177</v>
      </c>
      <c r="C16" s="137" t="s">
        <v>7</v>
      </c>
      <c r="D16" s="110">
        <f>1-INDEX(Data!$D$73:$D$100,MATCH('RFPR cover'!$C$5,Data!$B$73:$B$100,0),0)</f>
        <v>0.41890000000000005</v>
      </c>
      <c r="E16" s="111">
        <f>1-INDEX(Data!$D$73:$D$100,MATCH('RFPR cover'!$C$5,Data!$B$73:$B$100,0),0)</f>
        <v>0.41890000000000005</v>
      </c>
      <c r="F16" s="111">
        <f>1-INDEX(Data!$D$73:$D$100,MATCH('RFPR cover'!$C$5,Data!$B$73:$B$100,0),0)</f>
        <v>0.41890000000000005</v>
      </c>
      <c r="G16" s="111">
        <f>1-INDEX(Data!$D$73:$D$100,MATCH('RFPR cover'!$C$5,Data!$B$73:$B$100,0),0)</f>
        <v>0.41890000000000005</v>
      </c>
      <c r="H16" s="111">
        <f>1-INDEX(Data!$D$73:$D$100,MATCH('RFPR cover'!$C$5,Data!$B$73:$B$100,0),0)</f>
        <v>0.41890000000000005</v>
      </c>
      <c r="I16" s="111">
        <f>1-INDEX(Data!$D$73:$D$100,MATCH('RFPR cover'!$C$5,Data!$B$73:$B$100,0),0)</f>
        <v>0.41890000000000005</v>
      </c>
      <c r="J16" s="111">
        <f>1-INDEX(Data!$D$73:$D$100,MATCH('RFPR cover'!$C$5,Data!$B$73:$B$100,0),0)</f>
        <v>0.41890000000000005</v>
      </c>
      <c r="K16" s="112">
        <f>1-INDEX(Data!$D$73:$D$100,MATCH('RFPR cover'!$C$5,Data!$B$73:$B$100,0),0)</f>
        <v>0.41890000000000005</v>
      </c>
      <c r="L16" s="62"/>
      <c r="M16" s="62"/>
      <c r="O16"/>
      <c r="P16"/>
      <c r="Q16"/>
      <c r="R16"/>
      <c r="S16"/>
      <c r="T16"/>
    </row>
    <row r="17" spans="1:20">
      <c r="A17" s="35"/>
      <c r="B17" s="775"/>
      <c r="O17"/>
      <c r="P17"/>
      <c r="Q17"/>
      <c r="R17"/>
      <c r="S17"/>
      <c r="T17"/>
    </row>
    <row r="18" spans="1:20">
      <c r="A18" s="35"/>
      <c r="B18" s="782" t="s">
        <v>182</v>
      </c>
      <c r="C18" s="160" t="str">
        <f>'RFPR cover'!$C$14</f>
        <v>£m 12/13</v>
      </c>
      <c r="D18" s="96">
        <f>D14*D16</f>
        <v>2.8771462249788669</v>
      </c>
      <c r="E18" s="97">
        <f t="shared" ref="E18:K18" si="2">E14*E16</f>
        <v>13.189846732761916</v>
      </c>
      <c r="F18" s="97">
        <f t="shared" si="2"/>
        <v>0.95991842661914339</v>
      </c>
      <c r="G18" s="97">
        <f t="shared" si="2"/>
        <v>-0.60340206675332853</v>
      </c>
      <c r="H18" s="97">
        <f t="shared" si="2"/>
        <v>7.8625152962643989</v>
      </c>
      <c r="I18" s="97">
        <f t="shared" si="2"/>
        <v>14.576658023007834</v>
      </c>
      <c r="J18" s="97">
        <f t="shared" si="2"/>
        <v>16.483119851238374</v>
      </c>
      <c r="K18" s="97">
        <f t="shared" si="2"/>
        <v>6.6632524916033198</v>
      </c>
      <c r="L18" s="96">
        <f>SUM(D18:INDEX(D18:K18,0,MATCH('RFPR cover'!$C$7,$D$6:$K$6,0)))</f>
        <v>62.009054979720517</v>
      </c>
      <c r="M18" s="98">
        <f>SUM(D18:K18)</f>
        <v>62.009054979720517</v>
      </c>
      <c r="O18"/>
      <c r="P18"/>
      <c r="Q18"/>
      <c r="R18"/>
      <c r="S18"/>
      <c r="T18"/>
    </row>
    <row r="19" spans="1:20">
      <c r="A19" s="35"/>
      <c r="B19" s="782" t="s">
        <v>278</v>
      </c>
      <c r="C19" s="160" t="str">
        <f>'RFPR cover'!$C$14</f>
        <v>£m 12/13</v>
      </c>
      <c r="D19" s="93">
        <f>D14*(1-D16)</f>
        <v>3.991190430497062</v>
      </c>
      <c r="E19" s="94">
        <f t="shared" ref="E19:K19" si="3">E14*(1-E16)</f>
        <v>18.29701584246347</v>
      </c>
      <c r="F19" s="94">
        <f t="shared" si="3"/>
        <v>1.3316032411276775</v>
      </c>
      <c r="G19" s="94">
        <f t="shared" si="3"/>
        <v>-0.83704211265304151</v>
      </c>
      <c r="H19" s="94">
        <f t="shared" si="3"/>
        <v>10.906917256288473</v>
      </c>
      <c r="I19" s="94">
        <f t="shared" si="3"/>
        <v>20.220806820648964</v>
      </c>
      <c r="J19" s="94">
        <f t="shared" si="3"/>
        <v>22.865459406910045</v>
      </c>
      <c r="K19" s="94">
        <f t="shared" si="3"/>
        <v>9.243294396922149</v>
      </c>
      <c r="L19" s="93">
        <f>SUM(D19:INDEX(D19:K19,0,MATCH('RFPR cover'!$C$7,$D$6:$K$6,0)))</f>
        <v>86.019245282204807</v>
      </c>
      <c r="M19" s="95">
        <f>SUM(D19:K19)</f>
        <v>86.019245282204807</v>
      </c>
      <c r="O19"/>
      <c r="P19"/>
      <c r="Q19"/>
      <c r="R19"/>
      <c r="S19"/>
      <c r="T19"/>
    </row>
    <row r="20" spans="1:20">
      <c r="A20" s="35"/>
      <c r="B20" s="775"/>
      <c r="O20"/>
      <c r="P20"/>
      <c r="Q20"/>
      <c r="R20"/>
      <c r="S20"/>
      <c r="T20"/>
    </row>
    <row r="21" spans="1:20">
      <c r="A21" s="35"/>
      <c r="B21" s="783" t="s">
        <v>181</v>
      </c>
      <c r="N21" s="63"/>
      <c r="O21"/>
      <c r="P21"/>
      <c r="Q21"/>
      <c r="R21"/>
      <c r="S21"/>
      <c r="T21"/>
    </row>
    <row r="22" spans="1:20">
      <c r="A22" s="270" t="s">
        <v>151</v>
      </c>
      <c r="B22" s="773" t="s">
        <v>616</v>
      </c>
      <c r="C22" s="156" t="str">
        <f>'RFPR cover'!$C$14</f>
        <v>£m 12/13</v>
      </c>
      <c r="D22" s="584">
        <v>-3.2541520848881946</v>
      </c>
      <c r="E22" s="585">
        <v>-20.403855213195648</v>
      </c>
      <c r="F22" s="585">
        <v>1.9261384603458973</v>
      </c>
      <c r="G22" s="585">
        <v>28.557414646859513</v>
      </c>
      <c r="H22" s="585">
        <v>-0.35909637045192611</v>
      </c>
      <c r="I22" s="585">
        <v>-15.403838248783956</v>
      </c>
      <c r="J22" s="585">
        <v>-15.819391919608666</v>
      </c>
      <c r="K22" s="585">
        <v>22.025780729722978</v>
      </c>
      <c r="L22" s="586">
        <f>SUM(D22:INDEX(D22:K22,0,MATCH('RFPR cover'!$C$7,$D$6:$K$6,0)))</f>
        <v>-2.7310000000000016</v>
      </c>
      <c r="M22" s="587">
        <f t="shared" ref="M22:M27" si="4">SUM(D22:K22)</f>
        <v>-2.7310000000000016</v>
      </c>
      <c r="N22" s="575" t="s">
        <v>617</v>
      </c>
      <c r="O22"/>
      <c r="P22"/>
      <c r="Q22"/>
      <c r="R22"/>
      <c r="S22"/>
      <c r="T22"/>
    </row>
    <row r="23" spans="1:20">
      <c r="A23" s="270" t="s">
        <v>152</v>
      </c>
      <c r="B23" s="773" t="s">
        <v>241</v>
      </c>
      <c r="C23" s="156" t="str">
        <f>'RFPR cover'!$C$14</f>
        <v>£m 12/13</v>
      </c>
      <c r="D23" s="588">
        <v>0</v>
      </c>
      <c r="E23" s="589">
        <v>0</v>
      </c>
      <c r="F23" s="589">
        <v>0</v>
      </c>
      <c r="G23" s="589">
        <v>0</v>
      </c>
      <c r="H23" s="589">
        <v>0</v>
      </c>
      <c r="I23" s="589">
        <v>0</v>
      </c>
      <c r="J23" s="589">
        <v>0</v>
      </c>
      <c r="K23" s="589">
        <v>0</v>
      </c>
      <c r="L23" s="590">
        <f>SUM(D23:INDEX(D23:K23,0,MATCH('RFPR cover'!$C$7,$D$6:$K$6,0)))</f>
        <v>0</v>
      </c>
      <c r="M23" s="591">
        <f t="shared" si="4"/>
        <v>0</v>
      </c>
      <c r="N23" s="576">
        <v>0</v>
      </c>
      <c r="O23"/>
      <c r="P23"/>
      <c r="Q23"/>
      <c r="R23"/>
      <c r="S23"/>
      <c r="T23"/>
    </row>
    <row r="24" spans="1:20">
      <c r="A24" s="270" t="s">
        <v>153</v>
      </c>
      <c r="B24" s="773" t="s">
        <v>241</v>
      </c>
      <c r="C24" s="156" t="str">
        <f>'RFPR cover'!$C$14</f>
        <v>£m 12/13</v>
      </c>
      <c r="D24" s="588">
        <v>0</v>
      </c>
      <c r="E24" s="589">
        <v>0</v>
      </c>
      <c r="F24" s="589">
        <v>0</v>
      </c>
      <c r="G24" s="589">
        <v>0</v>
      </c>
      <c r="H24" s="589">
        <v>0</v>
      </c>
      <c r="I24" s="589">
        <v>0</v>
      </c>
      <c r="J24" s="589">
        <v>0</v>
      </c>
      <c r="K24" s="589">
        <v>0</v>
      </c>
      <c r="L24" s="590">
        <f>SUM(D24:INDEX(D24:K24,0,MATCH('RFPR cover'!$C$7,$D$6:$K$6,0)))</f>
        <v>0</v>
      </c>
      <c r="M24" s="591">
        <f t="shared" si="4"/>
        <v>0</v>
      </c>
      <c r="N24" s="576">
        <v>0</v>
      </c>
      <c r="O24"/>
      <c r="P24"/>
      <c r="Q24"/>
      <c r="R24"/>
      <c r="S24" s="65"/>
      <c r="T24"/>
    </row>
    <row r="25" spans="1:20">
      <c r="A25" s="270" t="s">
        <v>167</v>
      </c>
      <c r="B25" s="773" t="s">
        <v>241</v>
      </c>
      <c r="C25" s="156" t="str">
        <f>'RFPR cover'!$C$14</f>
        <v>£m 12/13</v>
      </c>
      <c r="D25" s="588">
        <v>0</v>
      </c>
      <c r="E25" s="589">
        <v>0</v>
      </c>
      <c r="F25" s="589">
        <v>0</v>
      </c>
      <c r="G25" s="589">
        <v>0</v>
      </c>
      <c r="H25" s="589">
        <v>0</v>
      </c>
      <c r="I25" s="589">
        <v>0</v>
      </c>
      <c r="J25" s="589">
        <v>0</v>
      </c>
      <c r="K25" s="589">
        <v>0</v>
      </c>
      <c r="L25" s="590">
        <f>SUM(D25:INDEX(D25:K25,0,MATCH('RFPR cover'!$C$7,$D$6:$K$6,0)))</f>
        <v>0</v>
      </c>
      <c r="M25" s="591">
        <f t="shared" si="4"/>
        <v>0</v>
      </c>
      <c r="N25" s="576">
        <v>0</v>
      </c>
      <c r="O25"/>
      <c r="P25"/>
      <c r="Q25"/>
      <c r="R25"/>
      <c r="S25"/>
      <c r="T25"/>
    </row>
    <row r="26" spans="1:20">
      <c r="A26" s="270" t="s">
        <v>168</v>
      </c>
      <c r="B26" s="773" t="s">
        <v>241</v>
      </c>
      <c r="C26" s="156" t="str">
        <f>'RFPR cover'!$C$14</f>
        <v>£m 12/13</v>
      </c>
      <c r="D26" s="588">
        <v>0</v>
      </c>
      <c r="E26" s="589">
        <v>0</v>
      </c>
      <c r="F26" s="589">
        <v>0</v>
      </c>
      <c r="G26" s="589">
        <v>0</v>
      </c>
      <c r="H26" s="589">
        <v>0</v>
      </c>
      <c r="I26" s="589">
        <v>0</v>
      </c>
      <c r="J26" s="589">
        <v>0</v>
      </c>
      <c r="K26" s="589">
        <v>0</v>
      </c>
      <c r="L26" s="590">
        <f>SUM(D26:INDEX(D26:K26,0,MATCH('RFPR cover'!$C$7,$D$6:$K$6,0)))</f>
        <v>0</v>
      </c>
      <c r="M26" s="591">
        <f t="shared" si="4"/>
        <v>0</v>
      </c>
      <c r="N26" s="576">
        <v>0</v>
      </c>
      <c r="O26"/>
      <c r="P26"/>
      <c r="Q26"/>
      <c r="R26"/>
      <c r="S26"/>
      <c r="T26"/>
    </row>
    <row r="27" spans="1:20">
      <c r="A27" s="270" t="s">
        <v>169</v>
      </c>
      <c r="B27" s="773" t="s">
        <v>241</v>
      </c>
      <c r="C27" s="156" t="str">
        <f>'RFPR cover'!$C$14</f>
        <v>£m 12/13</v>
      </c>
      <c r="D27" s="592">
        <v>0</v>
      </c>
      <c r="E27" s="593">
        <v>0</v>
      </c>
      <c r="F27" s="593">
        <v>0</v>
      </c>
      <c r="G27" s="593">
        <v>0</v>
      </c>
      <c r="H27" s="593">
        <v>0</v>
      </c>
      <c r="I27" s="593">
        <v>0</v>
      </c>
      <c r="J27" s="593">
        <v>0</v>
      </c>
      <c r="K27" s="593">
        <v>0</v>
      </c>
      <c r="L27" s="594">
        <f>SUM(D27:INDEX(D27:K27,0,MATCH('RFPR cover'!$C$7,$D$6:$K$6,0)))</f>
        <v>0</v>
      </c>
      <c r="M27" s="595">
        <f t="shared" si="4"/>
        <v>0</v>
      </c>
      <c r="N27" s="577">
        <v>0</v>
      </c>
      <c r="O27"/>
      <c r="P27"/>
      <c r="Q27"/>
      <c r="R27"/>
      <c r="S27"/>
      <c r="T27"/>
    </row>
    <row r="28" spans="1:20">
      <c r="A28" s="35"/>
      <c r="B28" s="783" t="s">
        <v>189</v>
      </c>
      <c r="C28" s="156" t="str">
        <f>'RFPR cover'!$C$14</f>
        <v>£m 12/13</v>
      </c>
      <c r="D28" s="103">
        <f>SUM(D22:D27)</f>
        <v>-3.2541520848881946</v>
      </c>
      <c r="E28" s="104">
        <f t="shared" ref="E28:K28" si="5">SUM(E22:E27)</f>
        <v>-20.403855213195648</v>
      </c>
      <c r="F28" s="104">
        <f t="shared" si="5"/>
        <v>1.9261384603458973</v>
      </c>
      <c r="G28" s="104">
        <f t="shared" si="5"/>
        <v>28.557414646859513</v>
      </c>
      <c r="H28" s="104">
        <f t="shared" si="5"/>
        <v>-0.35909637045192611</v>
      </c>
      <c r="I28" s="104">
        <f t="shared" si="5"/>
        <v>-15.403838248783956</v>
      </c>
      <c r="J28" s="104">
        <f t="shared" si="5"/>
        <v>-15.819391919608666</v>
      </c>
      <c r="K28" s="104">
        <f t="shared" si="5"/>
        <v>22.025780729722978</v>
      </c>
      <c r="L28" s="103">
        <f>SUM(D28:INDEX(D28:K28,0,MATCH('RFPR cover'!$C$7,$D$6:$K$6,0)))</f>
        <v>-2.7310000000000016</v>
      </c>
      <c r="M28" s="105">
        <f>SUM(D28:K28)</f>
        <v>-2.7310000000000016</v>
      </c>
      <c r="N28" s="63"/>
    </row>
    <row r="29" spans="1:20">
      <c r="A29" s="35"/>
      <c r="B29" s="775"/>
    </row>
    <row r="30" spans="1:20">
      <c r="A30" s="35"/>
      <c r="B30" s="782" t="s">
        <v>197</v>
      </c>
      <c r="C30" s="160" t="str">
        <f>'RFPR cover'!$C$14</f>
        <v>£m 12/13</v>
      </c>
      <c r="D30" s="96">
        <f t="shared" ref="D30:K30" si="6">D28*D16</f>
        <v>-1.363164308359665</v>
      </c>
      <c r="E30" s="97">
        <f t="shared" si="6"/>
        <v>-8.5471749488076583</v>
      </c>
      <c r="F30" s="97">
        <f t="shared" si="6"/>
        <v>0.80685940103889653</v>
      </c>
      <c r="G30" s="97">
        <f t="shared" si="6"/>
        <v>11.962700995569451</v>
      </c>
      <c r="H30" s="97">
        <f t="shared" si="6"/>
        <v>-0.15042546958231187</v>
      </c>
      <c r="I30" s="97">
        <f t="shared" si="6"/>
        <v>-6.4526678424155994</v>
      </c>
      <c r="J30" s="97">
        <f t="shared" si="6"/>
        <v>-6.6267432751240714</v>
      </c>
      <c r="K30" s="97">
        <f t="shared" si="6"/>
        <v>9.2265995476809568</v>
      </c>
      <c r="L30" s="96">
        <f>SUM(D30:INDEX(D30:K30,0,MATCH('RFPR cover'!$C$7,$D$6:$K$6,0)))</f>
        <v>-1.1440159000000012</v>
      </c>
      <c r="M30" s="98">
        <f>SUM(D30:K30)</f>
        <v>-1.1440159000000012</v>
      </c>
    </row>
    <row r="31" spans="1:20">
      <c r="A31" s="35"/>
      <c r="B31" s="782" t="s">
        <v>307</v>
      </c>
      <c r="C31" s="160" t="str">
        <f>'RFPR cover'!$C$14</f>
        <v>£m 12/13</v>
      </c>
      <c r="D31" s="93">
        <f t="shared" ref="D31:K31" si="7">D28*(1-D16)</f>
        <v>-1.8909877765285297</v>
      </c>
      <c r="E31" s="94">
        <f t="shared" si="7"/>
        <v>-11.85668026438799</v>
      </c>
      <c r="F31" s="94">
        <f t="shared" si="7"/>
        <v>1.1192790593070008</v>
      </c>
      <c r="G31" s="94">
        <f t="shared" si="7"/>
        <v>16.594713651290061</v>
      </c>
      <c r="H31" s="94">
        <f t="shared" si="7"/>
        <v>-0.20867090086961423</v>
      </c>
      <c r="I31" s="94">
        <f t="shared" si="7"/>
        <v>-8.9511704063683553</v>
      </c>
      <c r="J31" s="94">
        <f t="shared" si="7"/>
        <v>-9.1926486444845956</v>
      </c>
      <c r="K31" s="94">
        <f t="shared" si="7"/>
        <v>12.799181182042021</v>
      </c>
      <c r="L31" s="93">
        <f>SUM(D31:INDEX(D31:K31,0,MATCH('RFPR cover'!$C$7,$D$6:$K$6,0)))</f>
        <v>-1.5869841000000005</v>
      </c>
      <c r="M31" s="95">
        <f>SUM(D31:K31)</f>
        <v>-1.5869841000000005</v>
      </c>
    </row>
    <row r="32" spans="1:20">
      <c r="A32" s="35"/>
      <c r="B32" s="775"/>
    </row>
    <row r="33" spans="1:20">
      <c r="A33" s="35"/>
      <c r="B33" s="783" t="s">
        <v>180</v>
      </c>
    </row>
    <row r="34" spans="1:20">
      <c r="A34" s="35"/>
      <c r="B34" s="775" t="s">
        <v>179</v>
      </c>
      <c r="C34" s="156" t="str">
        <f>'RFPR cover'!$C$14</f>
        <v>£m 12/13</v>
      </c>
      <c r="D34" s="96">
        <f>D18+D30</f>
        <v>1.5139819166192019</v>
      </c>
      <c r="E34" s="97">
        <f t="shared" ref="E34:K34" si="8">E18+E30</f>
        <v>4.6426717839542579</v>
      </c>
      <c r="F34" s="97">
        <f t="shared" si="8"/>
        <v>1.7667778276580399</v>
      </c>
      <c r="G34" s="97">
        <f t="shared" si="8"/>
        <v>11.359298928816122</v>
      </c>
      <c r="H34" s="97">
        <f t="shared" si="8"/>
        <v>7.712089826682087</v>
      </c>
      <c r="I34" s="97">
        <f t="shared" si="8"/>
        <v>8.1239901805922337</v>
      </c>
      <c r="J34" s="97">
        <f t="shared" si="8"/>
        <v>9.8563765761143038</v>
      </c>
      <c r="K34" s="97">
        <f t="shared" si="8"/>
        <v>15.889852039284277</v>
      </c>
      <c r="L34" s="96">
        <f>SUM(D34:INDEX(D34:K34,0,MATCH('RFPR cover'!$C$7,$D$6:$K$6,0)))</f>
        <v>60.865039079720518</v>
      </c>
      <c r="M34" s="98">
        <f>SUM(D34:K34)</f>
        <v>60.865039079720518</v>
      </c>
    </row>
    <row r="35" spans="1:20">
      <c r="A35" s="35"/>
      <c r="B35" s="775" t="s">
        <v>278</v>
      </c>
      <c r="C35" s="156" t="str">
        <f>'RFPR cover'!$C$14</f>
        <v>£m 12/13</v>
      </c>
      <c r="D35" s="99">
        <f>D19+D31</f>
        <v>2.1002026539685321</v>
      </c>
      <c r="E35" s="100">
        <f t="shared" ref="E35:K35" si="9">E19+E31</f>
        <v>6.4403355780754801</v>
      </c>
      <c r="F35" s="100">
        <f t="shared" si="9"/>
        <v>2.450882300434678</v>
      </c>
      <c r="G35" s="100">
        <f t="shared" si="9"/>
        <v>15.75767153863702</v>
      </c>
      <c r="H35" s="100">
        <f t="shared" si="9"/>
        <v>10.698246355418858</v>
      </c>
      <c r="I35" s="100">
        <f t="shared" si="9"/>
        <v>11.269636414280608</v>
      </c>
      <c r="J35" s="100">
        <f t="shared" si="9"/>
        <v>13.672810762425449</v>
      </c>
      <c r="K35" s="100">
        <f t="shared" si="9"/>
        <v>22.042475578964172</v>
      </c>
      <c r="L35" s="99">
        <f>SUM(D35:INDEX(D35:K35,0,MATCH('RFPR cover'!$C$7,$D$6:$K$6,0)))</f>
        <v>84.432261182204797</v>
      </c>
      <c r="M35" s="101">
        <f>SUM(D35:K35)</f>
        <v>84.432261182204797</v>
      </c>
    </row>
    <row r="36" spans="1:20">
      <c r="A36" s="35"/>
      <c r="B36" s="783" t="s">
        <v>11</v>
      </c>
      <c r="C36" s="157" t="str">
        <f>'RFPR cover'!$C$14</f>
        <v>£m 12/13</v>
      </c>
      <c r="D36" s="140">
        <f>SUM(D34:D35)</f>
        <v>3.6141845705877342</v>
      </c>
      <c r="E36" s="141">
        <f t="shared" ref="E36:K36" si="10">SUM(E34:E35)</f>
        <v>11.083007362029738</v>
      </c>
      <c r="F36" s="141">
        <f t="shared" si="10"/>
        <v>4.2176601280927182</v>
      </c>
      <c r="G36" s="141">
        <f t="shared" si="10"/>
        <v>27.116970467453143</v>
      </c>
      <c r="H36" s="141">
        <f t="shared" si="10"/>
        <v>18.410336182100945</v>
      </c>
      <c r="I36" s="141">
        <f t="shared" si="10"/>
        <v>19.393626594872842</v>
      </c>
      <c r="J36" s="141">
        <f t="shared" si="10"/>
        <v>23.529187338539753</v>
      </c>
      <c r="K36" s="141">
        <f t="shared" si="10"/>
        <v>37.932327618248451</v>
      </c>
      <c r="L36" s="140">
        <f>SUM(D36:INDEX(D36:K36,0,MATCH('RFPR cover'!$C$7,$D$6:$K$6,0)))</f>
        <v>145.29730026192533</v>
      </c>
      <c r="M36" s="142">
        <f>SUM(D36:K36)</f>
        <v>145.29730026192533</v>
      </c>
    </row>
    <row r="37" spans="1:20">
      <c r="A37" s="35"/>
      <c r="B37" s="775"/>
    </row>
    <row r="38" spans="1:20">
      <c r="A38" s="35"/>
      <c r="B38" s="778" t="str">
        <f>Data!B51</f>
        <v>n/a</v>
      </c>
      <c r="C38" s="151"/>
      <c r="D38" s="82"/>
      <c r="E38" s="82"/>
      <c r="F38" s="82"/>
      <c r="G38" s="82"/>
      <c r="H38" s="82"/>
      <c r="I38" s="82"/>
      <c r="J38" s="82"/>
      <c r="K38" s="82"/>
      <c r="L38" s="82"/>
      <c r="M38" s="82"/>
      <c r="N38" s="82"/>
    </row>
    <row r="39" spans="1:20" s="35" customFormat="1">
      <c r="B39" s="776"/>
      <c r="C39" s="139"/>
      <c r="D39" s="321"/>
      <c r="E39" s="321"/>
      <c r="F39" s="321"/>
      <c r="G39" s="321"/>
      <c r="H39" s="321"/>
      <c r="I39" s="321"/>
      <c r="J39" s="321"/>
      <c r="K39" s="321"/>
      <c r="L39" s="321"/>
      <c r="M39" s="321"/>
      <c r="N39" s="321"/>
    </row>
    <row r="40" spans="1:20">
      <c r="A40" s="35"/>
      <c r="B40" s="306" t="s">
        <v>34</v>
      </c>
      <c r="C40" s="156" t="str">
        <f>'RFPR cover'!$C$14</f>
        <v>£m 12/13</v>
      </c>
      <c r="D40" s="651"/>
      <c r="E40" s="652"/>
      <c r="F40" s="652"/>
      <c r="G40" s="652"/>
      <c r="H40" s="652"/>
      <c r="I40" s="652"/>
      <c r="J40" s="652"/>
      <c r="K40" s="652"/>
      <c r="L40" s="653">
        <f>SUM(D40:INDEX(D40:K40,0,MATCH('RFPR cover'!$C$7,$D$6:$K$6,0)))</f>
        <v>0</v>
      </c>
      <c r="M40" s="654">
        <f>SUM(D40:K40)</f>
        <v>0</v>
      </c>
      <c r="N40" s="353"/>
      <c r="O40" s="63"/>
    </row>
    <row r="41" spans="1:20" ht="25.5">
      <c r="A41" s="35"/>
      <c r="B41" s="780" t="s">
        <v>487</v>
      </c>
      <c r="C41" s="156" t="str">
        <f>'RFPR cover'!$C$14</f>
        <v>£m 12/13</v>
      </c>
      <c r="D41" s="655"/>
      <c r="E41" s="656"/>
      <c r="F41" s="656"/>
      <c r="G41" s="656"/>
      <c r="H41" s="656"/>
      <c r="I41" s="656"/>
      <c r="J41" s="656"/>
      <c r="K41" s="656"/>
      <c r="L41" s="657">
        <f>SUM(D41:INDEX(D41:K41,0,MATCH('RFPR cover'!$C$7,$D$6:$K$6,0)))</f>
        <v>0</v>
      </c>
      <c r="M41" s="658">
        <f>SUM(D41:K41)</f>
        <v>0</v>
      </c>
      <c r="N41" s="353"/>
      <c r="O41" s="63"/>
    </row>
    <row r="42" spans="1:20">
      <c r="A42" s="35"/>
      <c r="B42" s="781" t="s">
        <v>194</v>
      </c>
      <c r="C42" s="156" t="str">
        <f>'RFPR cover'!$C$14</f>
        <v>£m 12/13</v>
      </c>
      <c r="D42" s="103">
        <f>D41-D40</f>
        <v>0</v>
      </c>
      <c r="E42" s="104">
        <f t="shared" ref="E42:M42" si="11">E41-E40</f>
        <v>0</v>
      </c>
      <c r="F42" s="104">
        <f t="shared" si="11"/>
        <v>0</v>
      </c>
      <c r="G42" s="104">
        <f t="shared" si="11"/>
        <v>0</v>
      </c>
      <c r="H42" s="104">
        <f t="shared" si="11"/>
        <v>0</v>
      </c>
      <c r="I42" s="104">
        <f t="shared" si="11"/>
        <v>0</v>
      </c>
      <c r="J42" s="104">
        <f t="shared" si="11"/>
        <v>0</v>
      </c>
      <c r="K42" s="104">
        <f t="shared" si="11"/>
        <v>0</v>
      </c>
      <c r="L42" s="356">
        <f t="shared" si="11"/>
        <v>0</v>
      </c>
      <c r="M42" s="357">
        <f t="shared" si="11"/>
        <v>0</v>
      </c>
      <c r="N42" s="354"/>
      <c r="O42" s="992"/>
      <c r="P42" s="992"/>
      <c r="Q42" s="992"/>
      <c r="R42"/>
      <c r="S42"/>
      <c r="T42"/>
    </row>
    <row r="43" spans="1:20">
      <c r="A43" s="35"/>
      <c r="B43" s="781"/>
      <c r="C43" s="156"/>
      <c r="D43" s="59"/>
      <c r="E43" s="59"/>
      <c r="F43" s="59"/>
      <c r="G43" s="59"/>
      <c r="H43" s="59"/>
      <c r="I43" s="59"/>
      <c r="J43" s="59"/>
      <c r="K43" s="59"/>
      <c r="L43" s="59"/>
      <c r="M43" s="59"/>
      <c r="N43" s="350"/>
      <c r="O43" s="64"/>
      <c r="P43" s="64"/>
      <c r="Q43" s="64"/>
      <c r="R43"/>
      <c r="S43"/>
      <c r="T43"/>
    </row>
    <row r="44" spans="1:20">
      <c r="A44" s="35"/>
      <c r="B44" s="775" t="s">
        <v>177</v>
      </c>
      <c r="C44" s="137" t="s">
        <v>7</v>
      </c>
      <c r="D44" s="110">
        <f>1-INDEX(Data!$D$73:$D$100,MATCH('RFPR cover'!$C$5,Data!$B$73:$B$100,0),0)</f>
        <v>0.41890000000000005</v>
      </c>
      <c r="E44" s="111">
        <f>1-INDEX(Data!$D$73:$D$100,MATCH('RFPR cover'!$C$5,Data!$B$73:$B$100,0),0)</f>
        <v>0.41890000000000005</v>
      </c>
      <c r="F44" s="111">
        <f>1-INDEX(Data!$D$73:$D$100,MATCH('RFPR cover'!$C$5,Data!$B$73:$B$100,0),0)</f>
        <v>0.41890000000000005</v>
      </c>
      <c r="G44" s="111">
        <f>1-INDEX(Data!$D$73:$D$100,MATCH('RFPR cover'!$C$5,Data!$B$73:$B$100,0),0)</f>
        <v>0.41890000000000005</v>
      </c>
      <c r="H44" s="111">
        <f>1-INDEX(Data!$D$73:$D$100,MATCH('RFPR cover'!$C$5,Data!$B$73:$B$100,0),0)</f>
        <v>0.41890000000000005</v>
      </c>
      <c r="I44" s="111">
        <f>1-INDEX(Data!$D$73:$D$100,MATCH('RFPR cover'!$C$5,Data!$B$73:$B$100,0),0)</f>
        <v>0.41890000000000005</v>
      </c>
      <c r="J44" s="111">
        <f>1-INDEX(Data!$D$73:$D$100,MATCH('RFPR cover'!$C$5,Data!$B$73:$B$100,0),0)</f>
        <v>0.41890000000000005</v>
      </c>
      <c r="K44" s="112">
        <f>1-INDEX(Data!$D$73:$D$100,MATCH('RFPR cover'!$C$5,Data!$B$73:$B$100,0),0)</f>
        <v>0.41890000000000005</v>
      </c>
      <c r="L44" s="62"/>
      <c r="M44" s="62"/>
      <c r="N44" s="351"/>
      <c r="O44"/>
      <c r="P44"/>
      <c r="Q44"/>
      <c r="R44"/>
      <c r="S44"/>
      <c r="T44"/>
    </row>
    <row r="45" spans="1:20">
      <c r="A45" s="35"/>
      <c r="B45" s="775"/>
      <c r="N45" s="352"/>
      <c r="O45"/>
      <c r="P45"/>
      <c r="Q45"/>
      <c r="R45"/>
      <c r="S45"/>
      <c r="T45"/>
    </row>
    <row r="46" spans="1:20">
      <c r="A46" s="35"/>
      <c r="B46" s="782" t="s">
        <v>182</v>
      </c>
      <c r="C46" s="160" t="str">
        <f>'RFPR cover'!$C$14</f>
        <v>£m 12/13</v>
      </c>
      <c r="D46" s="96">
        <f>D42*D44</f>
        <v>0</v>
      </c>
      <c r="E46" s="97">
        <f t="shared" ref="E46:K46" si="12">E42*E44</f>
        <v>0</v>
      </c>
      <c r="F46" s="97">
        <f t="shared" si="12"/>
        <v>0</v>
      </c>
      <c r="G46" s="97">
        <f t="shared" si="12"/>
        <v>0</v>
      </c>
      <c r="H46" s="97">
        <f t="shared" si="12"/>
        <v>0</v>
      </c>
      <c r="I46" s="97">
        <f t="shared" si="12"/>
        <v>0</v>
      </c>
      <c r="J46" s="97">
        <f t="shared" si="12"/>
        <v>0</v>
      </c>
      <c r="K46" s="97">
        <f t="shared" si="12"/>
        <v>0</v>
      </c>
      <c r="L46" s="358">
        <f>SUM(D46:INDEX(D46:K46,0,MATCH('RFPR cover'!$C$7,$D$6:$K$6,0)))</f>
        <v>0</v>
      </c>
      <c r="M46" s="578">
        <f>SUM(D46:K46)</f>
        <v>0</v>
      </c>
      <c r="N46" s="354"/>
      <c r="O46"/>
      <c r="P46"/>
      <c r="Q46"/>
      <c r="R46"/>
      <c r="S46"/>
      <c r="T46"/>
    </row>
    <row r="47" spans="1:20">
      <c r="A47" s="35"/>
      <c r="B47" s="782" t="s">
        <v>278</v>
      </c>
      <c r="C47" s="160" t="str">
        <f>'RFPR cover'!$C$14</f>
        <v>£m 12/13</v>
      </c>
      <c r="D47" s="580">
        <f>D42*(1-D44)</f>
        <v>0</v>
      </c>
      <c r="E47" s="581">
        <f t="shared" ref="E47:K47" si="13">E42*(1-E44)</f>
        <v>0</v>
      </c>
      <c r="F47" s="581">
        <f t="shared" si="13"/>
        <v>0</v>
      </c>
      <c r="G47" s="581">
        <f t="shared" si="13"/>
        <v>0</v>
      </c>
      <c r="H47" s="581">
        <f t="shared" si="13"/>
        <v>0</v>
      </c>
      <c r="I47" s="581">
        <f t="shared" si="13"/>
        <v>0</v>
      </c>
      <c r="J47" s="581">
        <f t="shared" si="13"/>
        <v>0</v>
      </c>
      <c r="K47" s="581">
        <f t="shared" si="13"/>
        <v>0</v>
      </c>
      <c r="L47" s="582">
        <f>SUM(D47:INDEX(D47:K47,0,MATCH('RFPR cover'!$C$7,$D$6:$K$6,0)))</f>
        <v>0</v>
      </c>
      <c r="M47" s="583">
        <f>SUM(D47:K47)</f>
        <v>0</v>
      </c>
      <c r="N47" s="354"/>
      <c r="O47"/>
      <c r="P47"/>
      <c r="Q47"/>
      <c r="R47"/>
      <c r="S47"/>
      <c r="T47"/>
    </row>
    <row r="48" spans="1:20">
      <c r="A48" s="35"/>
      <c r="B48" s="775"/>
      <c r="N48" s="352"/>
      <c r="O48"/>
      <c r="P48"/>
      <c r="Q48"/>
      <c r="R48"/>
      <c r="S48"/>
      <c r="T48"/>
    </row>
    <row r="49" spans="1:20">
      <c r="A49" s="35"/>
      <c r="B49" s="783" t="s">
        <v>181</v>
      </c>
      <c r="N49" s="352"/>
      <c r="O49"/>
      <c r="P49"/>
      <c r="Q49"/>
      <c r="R49"/>
      <c r="S49"/>
      <c r="T49"/>
    </row>
    <row r="50" spans="1:20">
      <c r="A50" s="270" t="s">
        <v>151</v>
      </c>
      <c r="B50" s="773" t="s">
        <v>241</v>
      </c>
      <c r="C50" s="156" t="str">
        <f>'RFPR cover'!$C$14</f>
        <v>£m 12/13</v>
      </c>
      <c r="D50" s="584"/>
      <c r="E50" s="585"/>
      <c r="F50" s="585"/>
      <c r="G50" s="585"/>
      <c r="H50" s="585"/>
      <c r="I50" s="585"/>
      <c r="J50" s="585"/>
      <c r="K50" s="585"/>
      <c r="L50" s="659">
        <f>SUM(D50:INDEX(D50:K50,0,MATCH('RFPR cover'!$C$7,$D$6:$K$6,0)))</f>
        <v>0</v>
      </c>
      <c r="M50" s="660">
        <f t="shared" ref="M50:M56" si="14">SUM(D50:K50)</f>
        <v>0</v>
      </c>
      <c r="N50" s="575"/>
      <c r="O50"/>
      <c r="P50"/>
      <c r="Q50"/>
      <c r="R50"/>
      <c r="S50"/>
      <c r="T50"/>
    </row>
    <row r="51" spans="1:20">
      <c r="A51" s="270" t="s">
        <v>152</v>
      </c>
      <c r="B51" s="773" t="s">
        <v>241</v>
      </c>
      <c r="C51" s="156" t="str">
        <f>'RFPR cover'!$C$14</f>
        <v>£m 12/13</v>
      </c>
      <c r="D51" s="588"/>
      <c r="E51" s="589"/>
      <c r="F51" s="589"/>
      <c r="G51" s="589"/>
      <c r="H51" s="589"/>
      <c r="I51" s="589"/>
      <c r="J51" s="589"/>
      <c r="K51" s="589"/>
      <c r="L51" s="661">
        <f>SUM(D51:INDEX(D51:K51,0,MATCH('RFPR cover'!$C$7,$D$6:$K$6,0)))</f>
        <v>0</v>
      </c>
      <c r="M51" s="662">
        <f t="shared" si="14"/>
        <v>0</v>
      </c>
      <c r="N51" s="576"/>
      <c r="O51"/>
      <c r="P51"/>
      <c r="Q51"/>
      <c r="R51"/>
      <c r="S51"/>
      <c r="T51"/>
    </row>
    <row r="52" spans="1:20">
      <c r="A52" s="270" t="s">
        <v>153</v>
      </c>
      <c r="B52" s="773" t="s">
        <v>241</v>
      </c>
      <c r="C52" s="156" t="str">
        <f>'RFPR cover'!$C$14</f>
        <v>£m 12/13</v>
      </c>
      <c r="D52" s="588"/>
      <c r="E52" s="589"/>
      <c r="F52" s="589"/>
      <c r="G52" s="589"/>
      <c r="H52" s="589"/>
      <c r="I52" s="589"/>
      <c r="J52" s="589"/>
      <c r="K52" s="589"/>
      <c r="L52" s="661">
        <f>SUM(D52:INDEX(D52:K52,0,MATCH('RFPR cover'!$C$7,$D$6:$K$6,0)))</f>
        <v>0</v>
      </c>
      <c r="M52" s="662">
        <f t="shared" si="14"/>
        <v>0</v>
      </c>
      <c r="N52" s="576"/>
      <c r="O52"/>
      <c r="P52"/>
      <c r="Q52"/>
      <c r="R52"/>
      <c r="S52" s="65"/>
      <c r="T52"/>
    </row>
    <row r="53" spans="1:20">
      <c r="A53" s="270" t="s">
        <v>167</v>
      </c>
      <c r="B53" s="773" t="s">
        <v>241</v>
      </c>
      <c r="C53" s="156" t="str">
        <f>'RFPR cover'!$C$14</f>
        <v>£m 12/13</v>
      </c>
      <c r="D53" s="588"/>
      <c r="E53" s="589"/>
      <c r="F53" s="589"/>
      <c r="G53" s="589"/>
      <c r="H53" s="589"/>
      <c r="I53" s="589"/>
      <c r="J53" s="589"/>
      <c r="K53" s="589"/>
      <c r="L53" s="661">
        <f>SUM(D53:INDEX(D53:K53,0,MATCH('RFPR cover'!$C$7,$D$6:$K$6,0)))</f>
        <v>0</v>
      </c>
      <c r="M53" s="662">
        <f t="shared" si="14"/>
        <v>0</v>
      </c>
      <c r="N53" s="576"/>
      <c r="O53"/>
      <c r="P53"/>
      <c r="Q53"/>
      <c r="R53"/>
      <c r="S53"/>
      <c r="T53"/>
    </row>
    <row r="54" spans="1:20">
      <c r="A54" s="270" t="s">
        <v>168</v>
      </c>
      <c r="B54" s="773" t="s">
        <v>241</v>
      </c>
      <c r="C54" s="156" t="str">
        <f>'RFPR cover'!$C$14</f>
        <v>£m 12/13</v>
      </c>
      <c r="D54" s="588"/>
      <c r="E54" s="589"/>
      <c r="F54" s="589"/>
      <c r="G54" s="589"/>
      <c r="H54" s="589"/>
      <c r="I54" s="589"/>
      <c r="J54" s="589"/>
      <c r="K54" s="589"/>
      <c r="L54" s="661">
        <f>SUM(D54:INDEX(D54:K54,0,MATCH('RFPR cover'!$C$7,$D$6:$K$6,0)))</f>
        <v>0</v>
      </c>
      <c r="M54" s="662">
        <f t="shared" si="14"/>
        <v>0</v>
      </c>
      <c r="N54" s="576"/>
      <c r="O54"/>
      <c r="P54"/>
      <c r="Q54"/>
      <c r="R54"/>
      <c r="S54"/>
      <c r="T54"/>
    </row>
    <row r="55" spans="1:20">
      <c r="A55" s="270" t="s">
        <v>169</v>
      </c>
      <c r="B55" s="773" t="s">
        <v>241</v>
      </c>
      <c r="C55" s="156" t="str">
        <f>'RFPR cover'!$C$14</f>
        <v>£m 12/13</v>
      </c>
      <c r="D55" s="592"/>
      <c r="E55" s="593"/>
      <c r="F55" s="593"/>
      <c r="G55" s="593"/>
      <c r="H55" s="593"/>
      <c r="I55" s="593"/>
      <c r="J55" s="593"/>
      <c r="K55" s="593"/>
      <c r="L55" s="663">
        <f>SUM(D55:INDEX(D55:K55,0,MATCH('RFPR cover'!$C$7,$D$6:$K$6,0)))</f>
        <v>0</v>
      </c>
      <c r="M55" s="664">
        <f t="shared" si="14"/>
        <v>0</v>
      </c>
      <c r="N55" s="577"/>
      <c r="O55"/>
      <c r="P55"/>
      <c r="Q55"/>
      <c r="R55"/>
      <c r="S55"/>
      <c r="T55"/>
    </row>
    <row r="56" spans="1:20">
      <c r="A56" s="35"/>
      <c r="B56" s="783" t="s">
        <v>189</v>
      </c>
      <c r="C56" s="156" t="str">
        <f>'RFPR cover'!$C$14</f>
        <v>£m 12/13</v>
      </c>
      <c r="D56" s="103">
        <f>SUM(D50:D55)</f>
        <v>0</v>
      </c>
      <c r="E56" s="104">
        <f t="shared" ref="E56:K56" si="15">SUM(E50:E55)</f>
        <v>0</v>
      </c>
      <c r="F56" s="104">
        <f t="shared" si="15"/>
        <v>0</v>
      </c>
      <c r="G56" s="104">
        <f t="shared" si="15"/>
        <v>0</v>
      </c>
      <c r="H56" s="104">
        <f t="shared" si="15"/>
        <v>0</v>
      </c>
      <c r="I56" s="104">
        <f t="shared" si="15"/>
        <v>0</v>
      </c>
      <c r="J56" s="104">
        <f t="shared" si="15"/>
        <v>0</v>
      </c>
      <c r="K56" s="104">
        <f t="shared" si="15"/>
        <v>0</v>
      </c>
      <c r="L56" s="356">
        <f>SUM(D56:INDEX(D56:K56,0,MATCH('RFPR cover'!$C$7,$D$6:$K$6,0)))</f>
        <v>0</v>
      </c>
      <c r="M56" s="357">
        <f t="shared" si="14"/>
        <v>0</v>
      </c>
      <c r="N56" s="354"/>
    </row>
    <row r="57" spans="1:20">
      <c r="A57" s="35"/>
      <c r="B57" s="775"/>
      <c r="N57" s="352"/>
    </row>
    <row r="58" spans="1:20">
      <c r="A58" s="35"/>
      <c r="B58" s="782" t="s">
        <v>197</v>
      </c>
      <c r="C58" s="160" t="str">
        <f>'RFPR cover'!$C$14</f>
        <v>£m 12/13</v>
      </c>
      <c r="D58" s="96">
        <f t="shared" ref="D58:K58" si="16">D56*D44</f>
        <v>0</v>
      </c>
      <c r="E58" s="97">
        <f t="shared" si="16"/>
        <v>0</v>
      </c>
      <c r="F58" s="97">
        <f t="shared" si="16"/>
        <v>0</v>
      </c>
      <c r="G58" s="97">
        <f t="shared" si="16"/>
        <v>0</v>
      </c>
      <c r="H58" s="97">
        <f t="shared" si="16"/>
        <v>0</v>
      </c>
      <c r="I58" s="97">
        <f t="shared" si="16"/>
        <v>0</v>
      </c>
      <c r="J58" s="97">
        <f t="shared" si="16"/>
        <v>0</v>
      </c>
      <c r="K58" s="97">
        <f t="shared" si="16"/>
        <v>0</v>
      </c>
      <c r="L58" s="358">
        <f>SUM(D58:INDEX(D58:K58,0,MATCH('RFPR cover'!$C$7,$D$6:$K$6,0)))</f>
        <v>0</v>
      </c>
      <c r="M58" s="578">
        <f>SUM(D58:K58)</f>
        <v>0</v>
      </c>
      <c r="N58" s="354"/>
    </row>
    <row r="59" spans="1:20">
      <c r="A59" s="35"/>
      <c r="B59" s="782" t="s">
        <v>307</v>
      </c>
      <c r="C59" s="160" t="str">
        <f>'RFPR cover'!$C$14</f>
        <v>£m 12/13</v>
      </c>
      <c r="D59" s="93">
        <f t="shared" ref="D59:K59" si="17">D56*(1-D44)</f>
        <v>0</v>
      </c>
      <c r="E59" s="94">
        <f t="shared" si="17"/>
        <v>0</v>
      </c>
      <c r="F59" s="94">
        <f t="shared" si="17"/>
        <v>0</v>
      </c>
      <c r="G59" s="94">
        <f t="shared" si="17"/>
        <v>0</v>
      </c>
      <c r="H59" s="94">
        <f t="shared" si="17"/>
        <v>0</v>
      </c>
      <c r="I59" s="94">
        <f t="shared" si="17"/>
        <v>0</v>
      </c>
      <c r="J59" s="94">
        <f t="shared" si="17"/>
        <v>0</v>
      </c>
      <c r="K59" s="94">
        <f t="shared" si="17"/>
        <v>0</v>
      </c>
      <c r="L59" s="359">
        <f>SUM(D59:INDEX(D59:K59,0,MATCH('RFPR cover'!$C$7,$D$6:$K$6,0)))</f>
        <v>0</v>
      </c>
      <c r="M59" s="579">
        <f>SUM(D59:K59)</f>
        <v>0</v>
      </c>
      <c r="N59" s="354"/>
    </row>
    <row r="60" spans="1:20">
      <c r="A60" s="35"/>
      <c r="B60" s="775"/>
      <c r="N60" s="352"/>
    </row>
    <row r="61" spans="1:20">
      <c r="A61" s="35"/>
      <c r="B61" s="783" t="s">
        <v>180</v>
      </c>
      <c r="N61" s="352"/>
    </row>
    <row r="62" spans="1:20">
      <c r="A62" s="35"/>
      <c r="B62" s="775" t="s">
        <v>179</v>
      </c>
      <c r="C62" s="156" t="str">
        <f>'RFPR cover'!$C$14</f>
        <v>£m 12/13</v>
      </c>
      <c r="D62" s="96">
        <f>D46+D58</f>
        <v>0</v>
      </c>
      <c r="E62" s="97">
        <f t="shared" ref="E62:K62" si="18">E46+E58</f>
        <v>0</v>
      </c>
      <c r="F62" s="97">
        <f t="shared" si="18"/>
        <v>0</v>
      </c>
      <c r="G62" s="97">
        <f t="shared" si="18"/>
        <v>0</v>
      </c>
      <c r="H62" s="97">
        <f t="shared" si="18"/>
        <v>0</v>
      </c>
      <c r="I62" s="97">
        <f t="shared" si="18"/>
        <v>0</v>
      </c>
      <c r="J62" s="97">
        <f t="shared" si="18"/>
        <v>0</v>
      </c>
      <c r="K62" s="97">
        <f t="shared" si="18"/>
        <v>0</v>
      </c>
      <c r="L62" s="358">
        <f>SUM(D62:INDEX(D62:K62,0,MATCH('RFPR cover'!$C$7,$D$6:$K$6,0)))</f>
        <v>0</v>
      </c>
      <c r="M62" s="578">
        <f>SUM(D62:K62)</f>
        <v>0</v>
      </c>
      <c r="N62" s="354"/>
    </row>
    <row r="63" spans="1:20">
      <c r="A63" s="35"/>
      <c r="B63" s="775" t="s">
        <v>278</v>
      </c>
      <c r="C63" s="156" t="str">
        <f>'RFPR cover'!$C$14</f>
        <v>£m 12/13</v>
      </c>
      <c r="D63" s="99">
        <f>D47+D59</f>
        <v>0</v>
      </c>
      <c r="E63" s="100">
        <f t="shared" ref="E63:K63" si="19">E47+E59</f>
        <v>0</v>
      </c>
      <c r="F63" s="100">
        <f t="shared" si="19"/>
        <v>0</v>
      </c>
      <c r="G63" s="100">
        <f t="shared" si="19"/>
        <v>0</v>
      </c>
      <c r="H63" s="100">
        <f t="shared" si="19"/>
        <v>0</v>
      </c>
      <c r="I63" s="100">
        <f t="shared" si="19"/>
        <v>0</v>
      </c>
      <c r="J63" s="100">
        <f t="shared" si="19"/>
        <v>0</v>
      </c>
      <c r="K63" s="100">
        <f t="shared" si="19"/>
        <v>0</v>
      </c>
      <c r="L63" s="360">
        <f>SUM(D63:INDEX(D63:K63,0,MATCH('RFPR cover'!$C$7,$D$6:$K$6,0)))</f>
        <v>0</v>
      </c>
      <c r="M63" s="579">
        <f>SUM(D63:K63)</f>
        <v>0</v>
      </c>
      <c r="N63" s="354"/>
    </row>
    <row r="64" spans="1:20">
      <c r="A64" s="35"/>
      <c r="B64" s="783" t="s">
        <v>11</v>
      </c>
      <c r="C64" s="157" t="str">
        <f>'RFPR cover'!$C$14</f>
        <v>£m 12/13</v>
      </c>
      <c r="D64" s="140">
        <f>SUM(D62:D63)</f>
        <v>0</v>
      </c>
      <c r="E64" s="141">
        <f t="shared" ref="E64:K64" si="20">SUM(E62:E63)</f>
        <v>0</v>
      </c>
      <c r="F64" s="141">
        <f t="shared" si="20"/>
        <v>0</v>
      </c>
      <c r="G64" s="141">
        <f t="shared" si="20"/>
        <v>0</v>
      </c>
      <c r="H64" s="141">
        <f t="shared" si="20"/>
        <v>0</v>
      </c>
      <c r="I64" s="141">
        <f t="shared" si="20"/>
        <v>0</v>
      </c>
      <c r="J64" s="141">
        <f t="shared" si="20"/>
        <v>0</v>
      </c>
      <c r="K64" s="141">
        <f t="shared" si="20"/>
        <v>0</v>
      </c>
      <c r="L64" s="361">
        <f>SUM(D64:INDEX(D64:K64,0,MATCH('RFPR cover'!$C$7,$D$6:$K$6,0)))</f>
        <v>0</v>
      </c>
      <c r="M64" s="362">
        <f>SUM(D64:K64)</f>
        <v>0</v>
      </c>
      <c r="N64" s="355"/>
    </row>
    <row r="65" spans="1:20">
      <c r="A65" s="35"/>
      <c r="B65" s="783"/>
      <c r="C65" s="157"/>
      <c r="D65" s="157"/>
      <c r="E65" s="157"/>
      <c r="F65" s="157"/>
      <c r="G65" s="157"/>
      <c r="H65" s="157"/>
      <c r="I65" s="157"/>
      <c r="J65" s="157"/>
      <c r="K65" s="157"/>
      <c r="L65" s="157"/>
      <c r="M65" s="157"/>
    </row>
    <row r="66" spans="1:20">
      <c r="A66" s="35"/>
      <c r="B66" s="778" t="s">
        <v>255</v>
      </c>
      <c r="C66" s="151"/>
      <c r="D66" s="82"/>
      <c r="E66" s="82"/>
      <c r="F66" s="82"/>
      <c r="G66" s="82"/>
      <c r="H66" s="82"/>
      <c r="I66" s="82"/>
      <c r="J66" s="82"/>
      <c r="K66" s="82"/>
      <c r="L66" s="82"/>
      <c r="M66" s="82"/>
      <c r="N66" s="82"/>
    </row>
    <row r="67" spans="1:20">
      <c r="A67" s="35"/>
      <c r="B67" s="775"/>
      <c r="O67"/>
      <c r="P67"/>
      <c r="Q67"/>
      <c r="R67"/>
      <c r="S67"/>
      <c r="T67"/>
    </row>
    <row r="68" spans="1:20">
      <c r="A68" s="35"/>
      <c r="B68" s="783" t="s">
        <v>180</v>
      </c>
    </row>
    <row r="69" spans="1:20">
      <c r="A69" s="35"/>
      <c r="B69" s="775" t="s">
        <v>179</v>
      </c>
      <c r="C69" s="156" t="str">
        <f>'RFPR cover'!$C$14</f>
        <v>£m 12/13</v>
      </c>
      <c r="D69" s="96">
        <f>D34+D62</f>
        <v>1.5139819166192019</v>
      </c>
      <c r="E69" s="97">
        <f t="shared" ref="E69:K69" si="21">E34+E62</f>
        <v>4.6426717839542579</v>
      </c>
      <c r="F69" s="97">
        <f t="shared" si="21"/>
        <v>1.7667778276580399</v>
      </c>
      <c r="G69" s="97">
        <f t="shared" si="21"/>
        <v>11.359298928816122</v>
      </c>
      <c r="H69" s="97">
        <f t="shared" si="21"/>
        <v>7.712089826682087</v>
      </c>
      <c r="I69" s="97">
        <f t="shared" si="21"/>
        <v>8.1239901805922337</v>
      </c>
      <c r="J69" s="97">
        <f t="shared" si="21"/>
        <v>9.8563765761143038</v>
      </c>
      <c r="K69" s="97">
        <f t="shared" si="21"/>
        <v>15.889852039284277</v>
      </c>
      <c r="L69" s="96">
        <f>SUM(D69:INDEX(D69:K69,0,MATCH('RFPR cover'!$C$7,$D$6:$K$6,0)))</f>
        <v>60.865039079720518</v>
      </c>
      <c r="M69" s="98">
        <f>SUM(D69:K69)</f>
        <v>60.865039079720518</v>
      </c>
    </row>
    <row r="70" spans="1:20">
      <c r="A70" s="35"/>
      <c r="B70" s="775" t="s">
        <v>278</v>
      </c>
      <c r="C70" s="156" t="str">
        <f>'RFPR cover'!$C$14</f>
        <v>£m 12/13</v>
      </c>
      <c r="D70" s="522">
        <f t="shared" ref="D70:K70" si="22">D35+D63</f>
        <v>2.1002026539685321</v>
      </c>
      <c r="E70" s="523">
        <f t="shared" si="22"/>
        <v>6.4403355780754801</v>
      </c>
      <c r="F70" s="523">
        <f t="shared" si="22"/>
        <v>2.450882300434678</v>
      </c>
      <c r="G70" s="523">
        <f t="shared" si="22"/>
        <v>15.75767153863702</v>
      </c>
      <c r="H70" s="523">
        <f t="shared" si="22"/>
        <v>10.698246355418858</v>
      </c>
      <c r="I70" s="523">
        <f t="shared" si="22"/>
        <v>11.269636414280608</v>
      </c>
      <c r="J70" s="523">
        <f t="shared" si="22"/>
        <v>13.672810762425449</v>
      </c>
      <c r="K70" s="523">
        <f t="shared" si="22"/>
        <v>22.042475578964172</v>
      </c>
      <c r="L70" s="522">
        <f>SUM(D70:INDEX(D70:K70,0,MATCH('RFPR cover'!$C$7,$D$6:$K$6,0)))</f>
        <v>84.432261182204797</v>
      </c>
      <c r="M70" s="524">
        <f>SUM(D70:K70)</f>
        <v>84.432261182204797</v>
      </c>
    </row>
    <row r="71" spans="1:20">
      <c r="A71" s="35"/>
      <c r="B71" s="783" t="s">
        <v>11</v>
      </c>
      <c r="C71" s="157" t="str">
        <f>'RFPR cover'!$C$14</f>
        <v>£m 12/13</v>
      </c>
      <c r="D71" s="146">
        <f>SUM(D69:D70)</f>
        <v>3.6141845705877342</v>
      </c>
      <c r="E71" s="147">
        <f t="shared" ref="E71:K71" si="23">SUM(E69:E70)</f>
        <v>11.083007362029738</v>
      </c>
      <c r="F71" s="147">
        <f t="shared" si="23"/>
        <v>4.2176601280927182</v>
      </c>
      <c r="G71" s="147">
        <f t="shared" si="23"/>
        <v>27.116970467453143</v>
      </c>
      <c r="H71" s="147">
        <f t="shared" si="23"/>
        <v>18.410336182100945</v>
      </c>
      <c r="I71" s="147">
        <f t="shared" si="23"/>
        <v>19.393626594872842</v>
      </c>
      <c r="J71" s="147">
        <f t="shared" si="23"/>
        <v>23.529187338539753</v>
      </c>
      <c r="K71" s="147">
        <f t="shared" si="23"/>
        <v>37.932327618248451</v>
      </c>
      <c r="L71" s="146">
        <f>SUM(D71:INDEX(D71:K71,0,MATCH('RFPR cover'!$C$7,$D$6:$K$6,0)))</f>
        <v>145.29730026192533</v>
      </c>
      <c r="M71" s="148">
        <f>SUM(D71:K71)</f>
        <v>145.29730026192533</v>
      </c>
    </row>
    <row r="72" spans="1:20">
      <c r="A72" s="35"/>
      <c r="B72" s="783"/>
      <c r="C72" s="157"/>
      <c r="D72" s="157"/>
      <c r="E72" s="157"/>
      <c r="F72" s="157"/>
      <c r="G72" s="157"/>
      <c r="H72" s="157"/>
      <c r="I72" s="157"/>
      <c r="J72" s="157"/>
      <c r="K72" s="157"/>
      <c r="L72" s="157"/>
      <c r="M72" s="157"/>
    </row>
    <row r="73" spans="1:20">
      <c r="A73" s="35"/>
      <c r="B73" s="775"/>
    </row>
    <row r="74" spans="1:20">
      <c r="A74" s="35"/>
      <c r="B74" s="778" t="s">
        <v>213</v>
      </c>
      <c r="C74" s="151"/>
      <c r="D74" s="81"/>
      <c r="E74" s="81"/>
      <c r="F74" s="81"/>
      <c r="G74" s="81"/>
      <c r="H74" s="81"/>
      <c r="I74" s="81"/>
      <c r="J74" s="81"/>
      <c r="K74" s="81"/>
      <c r="L74" s="81"/>
      <c r="M74" s="81"/>
      <c r="N74" s="81"/>
    </row>
    <row r="75" spans="1:20">
      <c r="A75" s="35"/>
      <c r="B75" s="370" t="s">
        <v>212</v>
      </c>
      <c r="C75" s="369"/>
      <c r="D75" s="369"/>
      <c r="E75" s="369"/>
      <c r="F75" s="369"/>
      <c r="G75" s="369"/>
      <c r="H75" s="369"/>
      <c r="I75" s="369"/>
      <c r="J75" s="369"/>
      <c r="K75" s="369"/>
      <c r="L75" s="369"/>
      <c r="M75" s="369"/>
      <c r="N75" s="369"/>
    </row>
    <row r="76" spans="1:20" s="35" customFormat="1">
      <c r="B76" s="430"/>
      <c r="C76" s="374"/>
      <c r="D76" s="374"/>
      <c r="E76" s="374"/>
      <c r="F76" s="374"/>
      <c r="G76" s="374"/>
      <c r="H76" s="374"/>
      <c r="I76" s="374"/>
      <c r="J76" s="374"/>
      <c r="K76" s="374"/>
      <c r="L76" s="374"/>
      <c r="M76" s="374"/>
      <c r="N76" s="374"/>
    </row>
    <row r="77" spans="1:20">
      <c r="A77" s="35"/>
      <c r="B77" s="782" t="s">
        <v>216</v>
      </c>
      <c r="C77" s="156" t="str">
        <f>'RFPR cover'!$C$14</f>
        <v>£m 12/13</v>
      </c>
      <c r="D77" s="665">
        <f>INDEX(Data!$C$119:$L$146,MATCH('RFPR cover'!$C$5,Data!$B$119:$B$146,0),MATCH('R4 - Totex'!D$6,Data!$C$118:$L$118,0))</f>
        <v>1.5575632164737283</v>
      </c>
      <c r="E77" s="666">
        <f>INDEX(Data!$C$119:$L$146,MATCH('RFPR cover'!$C$5,Data!$B$119:$B$146,0),MATCH('R4 - Totex'!E$6,Data!$C$118:$L$118,0))</f>
        <v>1.4734141240658321</v>
      </c>
      <c r="F77" s="666">
        <f>INDEX(Data!$C$119:$L$146,MATCH('RFPR cover'!$C$5,Data!$B$119:$B$146,0),MATCH('R4 - Totex'!F$6,Data!$C$118:$L$118,0))</f>
        <v>1.4689588897025405</v>
      </c>
      <c r="G77" s="666">
        <f>INDEX(Data!$C$119:$L$146,MATCH('RFPR cover'!$C$5,Data!$B$119:$B$146,0),MATCH('R4 - Totex'!G$6,Data!$C$118:$L$118,0))</f>
        <v>1.4707200530126929</v>
      </c>
      <c r="H77" s="666">
        <f>INDEX(Data!$C$119:$L$146,MATCH('RFPR cover'!$C$5,Data!$B$119:$B$146,0),MATCH('R4 - Totex'!H$6,Data!$C$118:$L$118,0))</f>
        <v>1.4674716260161711</v>
      </c>
      <c r="I77" s="666">
        <f>INDEX(Data!$C$119:$L$146,MATCH('RFPR cover'!$C$5,Data!$B$119:$B$146,0),MATCH('R4 - Totex'!I$6,Data!$C$118:$L$118,0))</f>
        <v>1.4486206224386007</v>
      </c>
      <c r="J77" s="666">
        <f>INDEX(Data!$C$119:$L$146,MATCH('RFPR cover'!$C$5,Data!$B$119:$B$146,0),MATCH('R4 - Totex'!J$6,Data!$C$118:$L$118,0))</f>
        <v>1.4956798325868756</v>
      </c>
      <c r="K77" s="667">
        <f>INDEX(Data!$C$119:$L$146,MATCH('RFPR cover'!$C$5,Data!$B$119:$B$146,0),MATCH('R4 - Totex'!K$6,Data!$C$118:$L$118,0))</f>
        <v>1.4397148718051931</v>
      </c>
      <c r="L77" s="99">
        <f>SUM(D77:INDEX(D77:K77,0,MATCH('RFPR cover'!$C$7,$D$6:$K$6,0)))</f>
        <v>11.822143236101635</v>
      </c>
      <c r="M77" s="101">
        <f>SUM(D77:K77)</f>
        <v>11.822143236101635</v>
      </c>
    </row>
    <row r="78" spans="1:20">
      <c r="A78" s="35"/>
      <c r="B78" s="226" t="s">
        <v>200</v>
      </c>
      <c r="C78" s="156" t="s">
        <v>7</v>
      </c>
      <c r="D78" s="888" t="str">
        <f>IF(INDEX(Data!$J$73:$J$100,MATCH('RFPR cover'!$C$5,Data!$B$73:$B$100,0),0)="Pre",INDEX(Data!$G$18:$G$27,MATCH('R4 - Totex'!D$6,Data!$C$18:$C$27,0),0),"n/a")</f>
        <v>n/a</v>
      </c>
      <c r="E78" s="888" t="str">
        <f>IF(INDEX(Data!$J$73:$J$100,MATCH('RFPR cover'!$C$5,Data!$B$73:$B$100,0),0)="Pre",INDEX(Data!$G$18:$G$27,MATCH('R4 - Totex'!E$6,Data!$C$18:$C$27,0),0),"n/a")</f>
        <v>n/a</v>
      </c>
      <c r="F78" s="888" t="str">
        <f>IF(INDEX(Data!$J$73:$J$100,MATCH('RFPR cover'!$C$5,Data!$B$73:$B$100,0),0)="Pre",INDEX(Data!$G$18:$G$27,MATCH('R4 - Totex'!F$6,Data!$C$18:$C$27,0),0),"n/a")</f>
        <v>n/a</v>
      </c>
      <c r="G78" s="888" t="str">
        <f>IF(INDEX(Data!$J$73:$J$100,MATCH('RFPR cover'!$C$5,Data!$B$73:$B$100,0),0)="Pre",INDEX(Data!$G$18:$G$27,MATCH('R4 - Totex'!G$6,Data!$C$18:$C$27,0),0),"n/a")</f>
        <v>n/a</v>
      </c>
      <c r="H78" s="888" t="str">
        <f>IF(INDEX(Data!$J$73:$J$100,MATCH('RFPR cover'!$C$5,Data!$B$73:$B$100,0),0)="Pre",INDEX(Data!$G$18:$G$27,MATCH('R4 - Totex'!H$6,Data!$C$18:$C$27,0),0),"n/a")</f>
        <v>n/a</v>
      </c>
      <c r="I78" s="888" t="str">
        <f>IF(INDEX(Data!$J$73:$J$100,MATCH('RFPR cover'!$C$5,Data!$B$73:$B$100,0),0)="Pre",INDEX(Data!$G$18:$G$27,MATCH('R4 - Totex'!I$6,Data!$C$18:$C$27,0),0),"n/a")</f>
        <v>n/a</v>
      </c>
      <c r="J78" s="888" t="str">
        <f>IF(INDEX(Data!$J$73:$J$100,MATCH('RFPR cover'!$C$5,Data!$B$73:$B$100,0),0)="Pre",INDEX(Data!$G$18:$G$27,MATCH('R4 - Totex'!J$6,Data!$C$18:$C$27,0),0),"n/a")</f>
        <v>n/a</v>
      </c>
      <c r="K78" s="888" t="str">
        <f>IF(INDEX(Data!$J$73:$J$100,MATCH('RFPR cover'!$C$5,Data!$B$73:$B$100,0),0)="Pre",INDEX(Data!$G$18:$G$27,MATCH('R4 - Totex'!K$6,Data!$C$18:$C$27,0),0),"n/a")</f>
        <v>n/a</v>
      </c>
      <c r="L78" s="886"/>
      <c r="M78" s="887"/>
    </row>
    <row r="79" spans="1:20">
      <c r="A79" s="35"/>
      <c r="B79" s="226" t="s">
        <v>209</v>
      </c>
      <c r="C79" s="156" t="str">
        <f>'RFPR cover'!$C$14</f>
        <v>£m 12/13</v>
      </c>
      <c r="D79" s="612">
        <f>IF(ISNUMBER(D78),D77*(1-D78),D77)</f>
        <v>1.5575632164737283</v>
      </c>
      <c r="E79" s="613">
        <f t="shared" ref="E79:K79" si="24">IF(ISNUMBER(E78),E77*(1-E78),E77)</f>
        <v>1.4734141240658321</v>
      </c>
      <c r="F79" s="613">
        <f t="shared" si="24"/>
        <v>1.4689588897025405</v>
      </c>
      <c r="G79" s="613">
        <f t="shared" si="24"/>
        <v>1.4707200530126929</v>
      </c>
      <c r="H79" s="613">
        <f t="shared" si="24"/>
        <v>1.4674716260161711</v>
      </c>
      <c r="I79" s="613">
        <f t="shared" si="24"/>
        <v>1.4486206224386007</v>
      </c>
      <c r="J79" s="613">
        <f t="shared" si="24"/>
        <v>1.4956798325868756</v>
      </c>
      <c r="K79" s="614">
        <f t="shared" si="24"/>
        <v>1.4397148718051931</v>
      </c>
      <c r="L79" s="671">
        <f>SUM(D79:INDEX(D79:K79,0,MATCH('RFPR cover'!$C$7,$D$6:$K$6,0)))</f>
        <v>11.822143236101635</v>
      </c>
      <c r="M79" s="672">
        <f>SUM(D79:K79)</f>
        <v>11.822143236101635</v>
      </c>
    </row>
    <row r="80" spans="1:20">
      <c r="A80" s="35"/>
      <c r="B80" s="226"/>
      <c r="C80" s="66"/>
      <c r="D80" s="283"/>
      <c r="E80" s="283"/>
      <c r="F80" s="283"/>
      <c r="G80" s="283"/>
      <c r="H80" s="283"/>
      <c r="I80" s="283"/>
      <c r="J80" s="283"/>
      <c r="K80" s="283"/>
      <c r="L80" s="284"/>
      <c r="M80" s="284"/>
    </row>
    <row r="81" spans="1:20">
      <c r="A81" s="35"/>
      <c r="B81" s="226"/>
      <c r="C81" s="66"/>
      <c r="D81" s="283"/>
      <c r="E81" s="283"/>
      <c r="F81" s="283"/>
      <c r="G81" s="283"/>
      <c r="H81" s="283"/>
      <c r="I81" s="283"/>
      <c r="J81" s="283"/>
      <c r="K81" s="283"/>
      <c r="L81" s="284"/>
      <c r="M81" s="284"/>
    </row>
    <row r="82" spans="1:20">
      <c r="A82" s="35"/>
      <c r="B82" s="226"/>
      <c r="C82" s="66"/>
      <c r="D82" s="283"/>
      <c r="E82" s="283"/>
      <c r="F82" s="283"/>
      <c r="G82" s="283"/>
      <c r="H82" s="283"/>
      <c r="I82" s="283"/>
      <c r="J82" s="283"/>
      <c r="K82" s="283"/>
      <c r="L82" s="284"/>
      <c r="M82" s="284"/>
    </row>
    <row r="83" spans="1:20">
      <c r="A83" s="35"/>
      <c r="B83" s="775"/>
    </row>
    <row r="84" spans="1:20">
      <c r="A84" s="35"/>
      <c r="B84" s="777" t="s">
        <v>186</v>
      </c>
      <c r="C84" s="292"/>
      <c r="D84" s="294"/>
      <c r="E84" s="294"/>
      <c r="F84" s="294"/>
      <c r="G84" s="294"/>
      <c r="H84" s="294"/>
      <c r="I84" s="294"/>
      <c r="J84" s="294"/>
      <c r="K84" s="294"/>
      <c r="L84" s="294"/>
      <c r="M84" s="294"/>
      <c r="N84" s="294"/>
    </row>
    <row r="85" spans="1:20">
      <c r="A85" s="35"/>
      <c r="B85" s="783"/>
    </row>
    <row r="86" spans="1:20">
      <c r="A86" s="35"/>
      <c r="B86" s="782" t="str">
        <f>Data!B34</f>
        <v>Financial Year Average RPI (RPIt)</v>
      </c>
      <c r="C86" s="137" t="s">
        <v>127</v>
      </c>
      <c r="D86" s="113">
        <f>Data!C$34</f>
        <v>1.0603167467048125</v>
      </c>
      <c r="E86" s="114">
        <f>Data!D$34</f>
        <v>1.0830366813119445</v>
      </c>
      <c r="F86" s="114">
        <f>Data!E$34</f>
        <v>1.1235639113109226</v>
      </c>
      <c r="G86" s="114">
        <f>Data!F$34</f>
        <v>1.1578951670583426</v>
      </c>
      <c r="H86" s="114">
        <f>Data!G$34</f>
        <v>1.1878696229692449</v>
      </c>
      <c r="I86" s="114">
        <f>Data!H$34</f>
        <v>1.2022764892203943</v>
      </c>
      <c r="J86" s="114">
        <f>Data!I$34</f>
        <v>1.2717196280780627</v>
      </c>
      <c r="K86" s="115">
        <f>Data!J$34</f>
        <v>1.4354429345049555</v>
      </c>
    </row>
    <row r="87" spans="1:20">
      <c r="A87" s="35"/>
      <c r="B87" s="782"/>
      <c r="D87" s="137"/>
      <c r="E87" s="137"/>
      <c r="F87" s="137"/>
      <c r="G87" s="137"/>
      <c r="H87" s="137"/>
      <c r="I87" s="137"/>
      <c r="J87" s="137"/>
      <c r="K87" s="137"/>
    </row>
    <row r="88" spans="1:20">
      <c r="A88" s="35"/>
      <c r="B88" s="778" t="str">
        <f>B10</f>
        <v>Totex</v>
      </c>
      <c r="C88" s="151"/>
      <c r="D88" s="82"/>
      <c r="E88" s="82"/>
      <c r="F88" s="82"/>
      <c r="G88" s="82"/>
      <c r="H88" s="82"/>
      <c r="I88" s="82"/>
      <c r="J88" s="82"/>
      <c r="K88" s="82"/>
      <c r="L88" s="82"/>
      <c r="M88" s="82"/>
      <c r="N88" s="82"/>
    </row>
    <row r="89" spans="1:20" s="35" customFormat="1">
      <c r="B89" s="779"/>
      <c r="C89" s="139"/>
      <c r="D89" s="321"/>
      <c r="E89" s="321"/>
      <c r="F89" s="321"/>
      <c r="G89" s="321"/>
      <c r="H89" s="321"/>
      <c r="I89" s="321"/>
      <c r="J89" s="321"/>
      <c r="K89" s="321"/>
      <c r="L89" s="321"/>
      <c r="M89" s="321"/>
      <c r="N89" s="321"/>
    </row>
    <row r="90" spans="1:20">
      <c r="A90" s="35"/>
      <c r="B90" s="306" t="s">
        <v>34</v>
      </c>
      <c r="C90" s="156" t="s">
        <v>128</v>
      </c>
      <c r="D90" s="674">
        <f t="shared" ref="D90:K91" si="25">D12*D$86</f>
        <v>244.41971962242587</v>
      </c>
      <c r="E90" s="674">
        <f t="shared" si="25"/>
        <v>211.60842556006889</v>
      </c>
      <c r="F90" s="674">
        <f t="shared" si="25"/>
        <v>254.61943506924936</v>
      </c>
      <c r="G90" s="674">
        <f t="shared" si="25"/>
        <v>269.41690344357545</v>
      </c>
      <c r="H90" s="674">
        <f t="shared" si="25"/>
        <v>252.63846065967167</v>
      </c>
      <c r="I90" s="674">
        <f t="shared" si="25"/>
        <v>242.54790436664697</v>
      </c>
      <c r="J90" s="674">
        <f t="shared" si="25"/>
        <v>264.2157086948414</v>
      </c>
      <c r="K90" s="674">
        <f t="shared" si="25"/>
        <v>311.88273763588961</v>
      </c>
      <c r="L90" s="673">
        <f>SUM(D90:INDEX(D90:K90,0,MATCH('RFPR cover'!$C$7,$D$6:$K$6,0)))</f>
        <v>2051.3492950523691</v>
      </c>
      <c r="M90" s="674">
        <f>SUM(D90:K90)</f>
        <v>2051.3492950523691</v>
      </c>
      <c r="N90" s="63"/>
      <c r="O90" s="63"/>
    </row>
    <row r="91" spans="1:20" ht="25.5">
      <c r="A91" s="35"/>
      <c r="B91" s="780" t="s">
        <v>196</v>
      </c>
      <c r="C91" s="156" t="s">
        <v>128</v>
      </c>
      <c r="D91" s="674">
        <f t="shared" si="25"/>
        <v>251.70233200023353</v>
      </c>
      <c r="E91" s="674">
        <f t="shared" si="25"/>
        <v>245.70985270846629</v>
      </c>
      <c r="F91" s="674">
        <f t="shared" si="25"/>
        <v>257.19410611711669</v>
      </c>
      <c r="G91" s="674">
        <f t="shared" si="25"/>
        <v>267.74902008982349</v>
      </c>
      <c r="H91" s="674">
        <f t="shared" si="25"/>
        <v>274.93409942921932</v>
      </c>
      <c r="I91" s="674">
        <f t="shared" si="25"/>
        <v>284.38407823264879</v>
      </c>
      <c r="J91" s="674">
        <f t="shared" si="25"/>
        <v>314.25606927441407</v>
      </c>
      <c r="K91" s="674">
        <f t="shared" si="25"/>
        <v>334.71567797939525</v>
      </c>
      <c r="L91" s="675">
        <f>SUM(D91:INDEX(D91:K91,0,MATCH('RFPR cover'!$C$7,$D$6:$K$6,0)))</f>
        <v>2230.6452358313177</v>
      </c>
      <c r="M91" s="676">
        <f>SUM(D91:K91)</f>
        <v>2230.6452358313177</v>
      </c>
      <c r="N91" s="63"/>
      <c r="O91" s="63"/>
    </row>
    <row r="92" spans="1:20">
      <c r="A92" s="35"/>
      <c r="B92" s="781" t="s">
        <v>194</v>
      </c>
      <c r="C92" s="156" t="s">
        <v>128</v>
      </c>
      <c r="D92" s="103">
        <f>D91-D90</f>
        <v>7.2826123778076521</v>
      </c>
      <c r="E92" s="104">
        <f t="shared" ref="E92:M92" si="26">E91-E90</f>
        <v>34.101427148397391</v>
      </c>
      <c r="F92" s="104">
        <f t="shared" si="26"/>
        <v>2.5746710478673265</v>
      </c>
      <c r="G92" s="104">
        <f t="shared" si="26"/>
        <v>-1.6678833537519608</v>
      </c>
      <c r="H92" s="104">
        <f t="shared" si="26"/>
        <v>22.295638769547651</v>
      </c>
      <c r="I92" s="104">
        <f t="shared" si="26"/>
        <v>41.836173866001815</v>
      </c>
      <c r="J92" s="104">
        <f t="shared" si="26"/>
        <v>50.040360579572678</v>
      </c>
      <c r="K92" s="105">
        <f t="shared" si="26"/>
        <v>22.832940343505641</v>
      </c>
      <c r="L92" s="103">
        <f t="shared" si="26"/>
        <v>179.29594077894853</v>
      </c>
      <c r="M92" s="105">
        <f t="shared" si="26"/>
        <v>179.29594077894853</v>
      </c>
      <c r="N92" s="63"/>
      <c r="O92" s="992"/>
      <c r="P92" s="992"/>
      <c r="Q92" s="992"/>
      <c r="R92"/>
      <c r="S92"/>
      <c r="T92"/>
    </row>
    <row r="93" spans="1:20">
      <c r="A93" s="35"/>
      <c r="B93" s="781"/>
      <c r="C93" s="156"/>
      <c r="D93" s="59"/>
      <c r="E93" s="59"/>
      <c r="F93" s="59"/>
      <c r="G93" s="59"/>
      <c r="H93" s="59"/>
      <c r="I93" s="59"/>
      <c r="J93" s="59"/>
      <c r="K93" s="59"/>
      <c r="L93" s="59"/>
      <c r="M93" s="59"/>
      <c r="O93" s="64"/>
      <c r="P93" s="64"/>
      <c r="Q93" s="64"/>
      <c r="R93"/>
      <c r="S93"/>
      <c r="T93"/>
    </row>
    <row r="94" spans="1:20">
      <c r="A94" s="35"/>
      <c r="B94" s="775" t="s">
        <v>177</v>
      </c>
      <c r="C94" s="137" t="s">
        <v>7</v>
      </c>
      <c r="D94" s="110">
        <f>1-INDEX(Data!$D$73:$D$100,MATCH('RFPR cover'!$C$5,Data!$B$73:$B$100,0),0)</f>
        <v>0.41890000000000005</v>
      </c>
      <c r="E94" s="111">
        <f>1-INDEX(Data!$D$73:$D$100,MATCH('RFPR cover'!$C$5,Data!$B$73:$B$100,0),0)</f>
        <v>0.41890000000000005</v>
      </c>
      <c r="F94" s="111">
        <f>1-INDEX(Data!$D$73:$D$100,MATCH('RFPR cover'!$C$5,Data!$B$73:$B$100,0),0)</f>
        <v>0.41890000000000005</v>
      </c>
      <c r="G94" s="111">
        <f>1-INDEX(Data!$D$73:$D$100,MATCH('RFPR cover'!$C$5,Data!$B$73:$B$100,0),0)</f>
        <v>0.41890000000000005</v>
      </c>
      <c r="H94" s="111">
        <f>1-INDEX(Data!$D$73:$D$100,MATCH('RFPR cover'!$C$5,Data!$B$73:$B$100,0),0)</f>
        <v>0.41890000000000005</v>
      </c>
      <c r="I94" s="111">
        <f>1-INDEX(Data!$D$73:$D$100,MATCH('RFPR cover'!$C$5,Data!$B$73:$B$100,0),0)</f>
        <v>0.41890000000000005</v>
      </c>
      <c r="J94" s="111">
        <f>1-INDEX(Data!$D$73:$D$100,MATCH('RFPR cover'!$C$5,Data!$B$73:$B$100,0),0)</f>
        <v>0.41890000000000005</v>
      </c>
      <c r="K94" s="112">
        <f>1-INDEX(Data!$D$73:$D$100,MATCH('RFPR cover'!$C$5,Data!$B$73:$B$100,0),0)</f>
        <v>0.41890000000000005</v>
      </c>
      <c r="L94" s="62"/>
      <c r="M94" s="62"/>
      <c r="O94"/>
      <c r="P94"/>
      <c r="Q94"/>
      <c r="R94"/>
      <c r="S94"/>
      <c r="T94"/>
    </row>
    <row r="95" spans="1:20">
      <c r="A95" s="35"/>
      <c r="B95" s="775"/>
      <c r="O95"/>
      <c r="P95"/>
      <c r="Q95"/>
      <c r="R95"/>
      <c r="S95"/>
      <c r="T95"/>
    </row>
    <row r="96" spans="1:20">
      <c r="A96" s="35"/>
      <c r="B96" s="782" t="s">
        <v>182</v>
      </c>
      <c r="C96" s="156" t="s">
        <v>128</v>
      </c>
      <c r="D96" s="96">
        <f>D92*D94</f>
        <v>3.050686325063626</v>
      </c>
      <c r="E96" s="97">
        <f t="shared" ref="E96:K96" si="27">E92*E94</f>
        <v>14.285087832463669</v>
      </c>
      <c r="F96" s="97">
        <f t="shared" si="27"/>
        <v>1.0785297019516231</v>
      </c>
      <c r="G96" s="97">
        <f t="shared" si="27"/>
        <v>-0.6986763368866965</v>
      </c>
      <c r="H96" s="97">
        <f t="shared" si="27"/>
        <v>9.339643080563512</v>
      </c>
      <c r="I96" s="97">
        <f t="shared" si="27"/>
        <v>17.525173232468163</v>
      </c>
      <c r="J96" s="97">
        <f t="shared" si="27"/>
        <v>20.961907046782997</v>
      </c>
      <c r="K96" s="97">
        <f t="shared" si="27"/>
        <v>9.5647187098945139</v>
      </c>
      <c r="L96" s="96">
        <f>SUM(D96:INDEX(D96:K96,0,MATCH('RFPR cover'!$C$7,$D$6:$K$6,0)))</f>
        <v>75.1070695923014</v>
      </c>
      <c r="M96" s="98">
        <f>SUM(D96:K96)</f>
        <v>75.1070695923014</v>
      </c>
      <c r="O96"/>
      <c r="P96"/>
      <c r="Q96"/>
      <c r="R96"/>
      <c r="S96"/>
      <c r="T96"/>
    </row>
    <row r="97" spans="1:20">
      <c r="A97" s="35"/>
      <c r="B97" s="782" t="s">
        <v>278</v>
      </c>
      <c r="C97" s="156" t="s">
        <v>128</v>
      </c>
      <c r="D97" s="93">
        <f>D92*(1-D94)</f>
        <v>4.2319260527440266</v>
      </c>
      <c r="E97" s="94">
        <f t="shared" ref="E97:K97" si="28">E92*(1-E94)</f>
        <v>19.816339315933721</v>
      </c>
      <c r="F97" s="94">
        <f t="shared" si="28"/>
        <v>1.4961413459157034</v>
      </c>
      <c r="G97" s="94">
        <f t="shared" si="28"/>
        <v>-0.96920701686526434</v>
      </c>
      <c r="H97" s="94">
        <f t="shared" si="28"/>
        <v>12.955995688984139</v>
      </c>
      <c r="I97" s="94">
        <f t="shared" si="28"/>
        <v>24.311000633533652</v>
      </c>
      <c r="J97" s="94">
        <f t="shared" si="28"/>
        <v>29.07845353278968</v>
      </c>
      <c r="K97" s="94">
        <f t="shared" si="28"/>
        <v>13.268221633611127</v>
      </c>
      <c r="L97" s="93">
        <f>SUM(D97:INDEX(D97:K97,0,MATCH('RFPR cover'!$C$7,$D$6:$K$6,0)))</f>
        <v>104.18887118664679</v>
      </c>
      <c r="M97" s="95">
        <f>SUM(D97:K97)</f>
        <v>104.18887118664679</v>
      </c>
      <c r="O97"/>
      <c r="P97"/>
      <c r="Q97"/>
      <c r="R97"/>
      <c r="S97"/>
      <c r="T97"/>
    </row>
    <row r="98" spans="1:20">
      <c r="A98" s="35"/>
      <c r="B98" s="775"/>
      <c r="O98"/>
      <c r="P98"/>
      <c r="Q98"/>
      <c r="R98"/>
      <c r="S98"/>
      <c r="T98"/>
    </row>
    <row r="99" spans="1:20">
      <c r="A99" s="35"/>
      <c r="B99" s="783" t="s">
        <v>181</v>
      </c>
      <c r="N99" s="63"/>
      <c r="O99"/>
      <c r="P99"/>
      <c r="Q99"/>
      <c r="R99"/>
      <c r="S99"/>
      <c r="T99"/>
    </row>
    <row r="100" spans="1:20">
      <c r="A100" s="270" t="s">
        <v>151</v>
      </c>
      <c r="B100" s="226" t="str">
        <f t="shared" ref="B100:B105" si="29">B22</f>
        <v>Re-phasing within ED1</v>
      </c>
      <c r="C100" s="156" t="s">
        <v>128</v>
      </c>
      <c r="D100" s="594">
        <f t="shared" ref="D100:K105" si="30">D22*D$86</f>
        <v>-3.4504319519313333</v>
      </c>
      <c r="E100" s="594">
        <f t="shared" si="30"/>
        <v>-22.098123636068834</v>
      </c>
      <c r="F100" s="594">
        <f t="shared" si="30"/>
        <v>2.1641396622326345</v>
      </c>
      <c r="G100" s="594">
        <f t="shared" si="30"/>
        <v>33.066492403279753</v>
      </c>
      <c r="H100" s="594">
        <f t="shared" si="30"/>
        <v>-0.42655967017835378</v>
      </c>
      <c r="I100" s="594">
        <f t="shared" si="30"/>
        <v>-18.519672570266803</v>
      </c>
      <c r="J100" s="594">
        <f t="shared" si="30"/>
        <v>-20.117831208425844</v>
      </c>
      <c r="K100" s="594">
        <f t="shared" si="30"/>
        <v>31.616751325436251</v>
      </c>
      <c r="L100" s="586">
        <f>SUM(D100:INDEX(D100:K100,0,MATCH('RFPR cover'!$C$7,$D$6:$K$6,0)))</f>
        <v>2.2347643540774733</v>
      </c>
      <c r="M100" s="587">
        <f t="shared" ref="M100:M106" si="31">SUM(D100:K100)</f>
        <v>2.2347643540774733</v>
      </c>
      <c r="N100" s="63"/>
      <c r="O100"/>
      <c r="P100"/>
      <c r="Q100"/>
      <c r="R100"/>
      <c r="S100"/>
      <c r="T100"/>
    </row>
    <row r="101" spans="1:20">
      <c r="A101" s="270" t="s">
        <v>152</v>
      </c>
      <c r="B101" s="226" t="str">
        <f t="shared" si="29"/>
        <v>[Enduring Value adjustment]</v>
      </c>
      <c r="C101" s="156" t="s">
        <v>128</v>
      </c>
      <c r="D101" s="594">
        <f t="shared" si="30"/>
        <v>0</v>
      </c>
      <c r="E101" s="594">
        <f t="shared" si="30"/>
        <v>0</v>
      </c>
      <c r="F101" s="594">
        <f t="shared" si="30"/>
        <v>0</v>
      </c>
      <c r="G101" s="594">
        <f t="shared" si="30"/>
        <v>0</v>
      </c>
      <c r="H101" s="594">
        <f t="shared" si="30"/>
        <v>0</v>
      </c>
      <c r="I101" s="594">
        <f t="shared" si="30"/>
        <v>0</v>
      </c>
      <c r="J101" s="594">
        <f t="shared" si="30"/>
        <v>0</v>
      </c>
      <c r="K101" s="594">
        <f t="shared" si="30"/>
        <v>0</v>
      </c>
      <c r="L101" s="590">
        <f>SUM(D101:INDEX(D101:K101,0,MATCH('RFPR cover'!$C$7,$D$6:$K$6,0)))</f>
        <v>0</v>
      </c>
      <c r="M101" s="591">
        <f t="shared" si="31"/>
        <v>0</v>
      </c>
      <c r="N101" s="63"/>
      <c r="O101"/>
      <c r="P101"/>
      <c r="Q101"/>
      <c r="R101"/>
      <c r="S101"/>
      <c r="T101"/>
    </row>
    <row r="102" spans="1:20">
      <c r="A102" s="270" t="s">
        <v>153</v>
      </c>
      <c r="B102" s="226" t="str">
        <f t="shared" si="29"/>
        <v>[Enduring Value adjustment]</v>
      </c>
      <c r="C102" s="156" t="s">
        <v>128</v>
      </c>
      <c r="D102" s="594">
        <f t="shared" si="30"/>
        <v>0</v>
      </c>
      <c r="E102" s="594">
        <f t="shared" si="30"/>
        <v>0</v>
      </c>
      <c r="F102" s="594">
        <f t="shared" si="30"/>
        <v>0</v>
      </c>
      <c r="G102" s="594">
        <f t="shared" si="30"/>
        <v>0</v>
      </c>
      <c r="H102" s="594">
        <f t="shared" si="30"/>
        <v>0</v>
      </c>
      <c r="I102" s="594">
        <f t="shared" si="30"/>
        <v>0</v>
      </c>
      <c r="J102" s="594">
        <f t="shared" si="30"/>
        <v>0</v>
      </c>
      <c r="K102" s="594">
        <f t="shared" si="30"/>
        <v>0</v>
      </c>
      <c r="L102" s="590">
        <f>SUM(D102:INDEX(D102:K102,0,MATCH('RFPR cover'!$C$7,$D$6:$K$6,0)))</f>
        <v>0</v>
      </c>
      <c r="M102" s="591">
        <f t="shared" si="31"/>
        <v>0</v>
      </c>
      <c r="N102" s="63"/>
      <c r="O102"/>
      <c r="P102"/>
      <c r="Q102"/>
      <c r="R102"/>
      <c r="S102" s="65"/>
      <c r="T102"/>
    </row>
    <row r="103" spans="1:20">
      <c r="A103" s="270" t="s">
        <v>167</v>
      </c>
      <c r="B103" s="226" t="str">
        <f t="shared" si="29"/>
        <v>[Enduring Value adjustment]</v>
      </c>
      <c r="C103" s="156" t="s">
        <v>128</v>
      </c>
      <c r="D103" s="594">
        <f t="shared" si="30"/>
        <v>0</v>
      </c>
      <c r="E103" s="594">
        <f t="shared" si="30"/>
        <v>0</v>
      </c>
      <c r="F103" s="594">
        <f t="shared" si="30"/>
        <v>0</v>
      </c>
      <c r="G103" s="594">
        <f t="shared" si="30"/>
        <v>0</v>
      </c>
      <c r="H103" s="594">
        <f t="shared" si="30"/>
        <v>0</v>
      </c>
      <c r="I103" s="594">
        <f t="shared" si="30"/>
        <v>0</v>
      </c>
      <c r="J103" s="594">
        <f t="shared" si="30"/>
        <v>0</v>
      </c>
      <c r="K103" s="594">
        <f t="shared" si="30"/>
        <v>0</v>
      </c>
      <c r="L103" s="590">
        <f>SUM(D103:INDEX(D103:K103,0,MATCH('RFPR cover'!$C$7,$D$6:$K$6,0)))</f>
        <v>0</v>
      </c>
      <c r="M103" s="591">
        <f t="shared" si="31"/>
        <v>0</v>
      </c>
      <c r="N103" s="63"/>
      <c r="O103"/>
      <c r="P103"/>
      <c r="Q103"/>
      <c r="R103"/>
      <c r="S103"/>
      <c r="T103"/>
    </row>
    <row r="104" spans="1:20">
      <c r="A104" s="270" t="s">
        <v>168</v>
      </c>
      <c r="B104" s="226" t="str">
        <f t="shared" si="29"/>
        <v>[Enduring Value adjustment]</v>
      </c>
      <c r="C104" s="156" t="s">
        <v>128</v>
      </c>
      <c r="D104" s="594">
        <f t="shared" si="30"/>
        <v>0</v>
      </c>
      <c r="E104" s="594">
        <f t="shared" si="30"/>
        <v>0</v>
      </c>
      <c r="F104" s="594">
        <f t="shared" si="30"/>
        <v>0</v>
      </c>
      <c r="G104" s="594">
        <f t="shared" si="30"/>
        <v>0</v>
      </c>
      <c r="H104" s="594">
        <f t="shared" si="30"/>
        <v>0</v>
      </c>
      <c r="I104" s="594">
        <f t="shared" si="30"/>
        <v>0</v>
      </c>
      <c r="J104" s="594">
        <f t="shared" si="30"/>
        <v>0</v>
      </c>
      <c r="K104" s="594">
        <f t="shared" si="30"/>
        <v>0</v>
      </c>
      <c r="L104" s="590">
        <f>SUM(D104:INDEX(D104:K104,0,MATCH('RFPR cover'!$C$7,$D$6:$K$6,0)))</f>
        <v>0</v>
      </c>
      <c r="M104" s="591">
        <f t="shared" si="31"/>
        <v>0</v>
      </c>
      <c r="N104" s="63"/>
      <c r="O104"/>
      <c r="P104"/>
      <c r="Q104"/>
      <c r="R104"/>
      <c r="S104"/>
      <c r="T104"/>
    </row>
    <row r="105" spans="1:20">
      <c r="A105" s="270" t="s">
        <v>169</v>
      </c>
      <c r="B105" s="226" t="str">
        <f t="shared" si="29"/>
        <v>[Enduring Value adjustment]</v>
      </c>
      <c r="C105" s="156" t="s">
        <v>128</v>
      </c>
      <c r="D105" s="594">
        <f t="shared" si="30"/>
        <v>0</v>
      </c>
      <c r="E105" s="594">
        <f t="shared" si="30"/>
        <v>0</v>
      </c>
      <c r="F105" s="594">
        <f t="shared" si="30"/>
        <v>0</v>
      </c>
      <c r="G105" s="594">
        <f t="shared" si="30"/>
        <v>0</v>
      </c>
      <c r="H105" s="594">
        <f t="shared" si="30"/>
        <v>0</v>
      </c>
      <c r="I105" s="594">
        <f t="shared" si="30"/>
        <v>0</v>
      </c>
      <c r="J105" s="594">
        <f t="shared" si="30"/>
        <v>0</v>
      </c>
      <c r="K105" s="594">
        <f t="shared" si="30"/>
        <v>0</v>
      </c>
      <c r="L105" s="594">
        <f>SUM(D105:INDEX(D105:K105,0,MATCH('RFPR cover'!$C$7,$D$6:$K$6,0)))</f>
        <v>0</v>
      </c>
      <c r="M105" s="595">
        <f t="shared" si="31"/>
        <v>0</v>
      </c>
      <c r="N105" s="63"/>
      <c r="O105"/>
      <c r="P105"/>
      <c r="Q105"/>
      <c r="R105"/>
      <c r="S105"/>
      <c r="T105"/>
    </row>
    <row r="106" spans="1:20">
      <c r="A106" s="35"/>
      <c r="B106" s="783" t="s">
        <v>189</v>
      </c>
      <c r="C106" s="156" t="s">
        <v>128</v>
      </c>
      <c r="D106" s="103">
        <f>SUM(D100:D105)</f>
        <v>-3.4504319519313333</v>
      </c>
      <c r="E106" s="104">
        <f t="shared" ref="E106:K106" si="32">SUM(E100:E105)</f>
        <v>-22.098123636068834</v>
      </c>
      <c r="F106" s="104">
        <f t="shared" si="32"/>
        <v>2.1641396622326345</v>
      </c>
      <c r="G106" s="104">
        <f t="shared" si="32"/>
        <v>33.066492403279753</v>
      </c>
      <c r="H106" s="104">
        <f t="shared" si="32"/>
        <v>-0.42655967017835378</v>
      </c>
      <c r="I106" s="104">
        <f t="shared" si="32"/>
        <v>-18.519672570266803</v>
      </c>
      <c r="J106" s="104">
        <f t="shared" si="32"/>
        <v>-20.117831208425844</v>
      </c>
      <c r="K106" s="105">
        <f t="shared" si="32"/>
        <v>31.616751325436251</v>
      </c>
      <c r="L106" s="103">
        <f>SUM(D106:INDEX(D106:K106,0,MATCH('RFPR cover'!$C$7,$D$6:$K$6,0)))</f>
        <v>2.2347643540774733</v>
      </c>
      <c r="M106" s="105">
        <f t="shared" si="31"/>
        <v>2.2347643540774733</v>
      </c>
      <c r="N106" s="63"/>
    </row>
    <row r="107" spans="1:20">
      <c r="A107" s="35"/>
      <c r="B107" s="775"/>
    </row>
    <row r="108" spans="1:20">
      <c r="A108" s="35"/>
      <c r="B108" s="782" t="s">
        <v>197</v>
      </c>
      <c r="C108" s="156" t="s">
        <v>128</v>
      </c>
      <c r="D108" s="96">
        <f t="shared" ref="D108:K108" si="33">D106*D94</f>
        <v>-1.4453859446640358</v>
      </c>
      <c r="E108" s="97">
        <f t="shared" si="33"/>
        <v>-9.256903991149235</v>
      </c>
      <c r="F108" s="97">
        <f t="shared" si="33"/>
        <v>0.90655810450925067</v>
      </c>
      <c r="G108" s="97">
        <f t="shared" si="33"/>
        <v>13.85155366773389</v>
      </c>
      <c r="H108" s="97">
        <f t="shared" si="33"/>
        <v>-0.17868584583771241</v>
      </c>
      <c r="I108" s="97">
        <f t="shared" si="33"/>
        <v>-7.7578908396847641</v>
      </c>
      <c r="J108" s="97">
        <f t="shared" si="33"/>
        <v>-8.4273594932095879</v>
      </c>
      <c r="K108" s="97">
        <f t="shared" si="33"/>
        <v>13.244257130225247</v>
      </c>
      <c r="L108" s="96">
        <f>SUM(D108:INDEX(D108:K108,0,MATCH('RFPR cover'!$C$7,$D$6:$K$6,0)))</f>
        <v>0.93614278792305328</v>
      </c>
      <c r="M108" s="98">
        <f>SUM(D108:K108)</f>
        <v>0.93614278792305328</v>
      </c>
    </row>
    <row r="109" spans="1:20">
      <c r="A109" s="35"/>
      <c r="B109" s="782" t="s">
        <v>307</v>
      </c>
      <c r="C109" s="156" t="s">
        <v>128</v>
      </c>
      <c r="D109" s="93">
        <f t="shared" ref="D109:K109" si="34">D106*(1-D94)</f>
        <v>-2.0050460072672975</v>
      </c>
      <c r="E109" s="94">
        <f t="shared" si="34"/>
        <v>-12.841219644919599</v>
      </c>
      <c r="F109" s="94">
        <f t="shared" si="34"/>
        <v>1.2575815577233838</v>
      </c>
      <c r="G109" s="94">
        <f t="shared" si="34"/>
        <v>19.214938735545864</v>
      </c>
      <c r="H109" s="94">
        <f t="shared" si="34"/>
        <v>-0.24787382434064137</v>
      </c>
      <c r="I109" s="94">
        <f t="shared" si="34"/>
        <v>-10.761781730582038</v>
      </c>
      <c r="J109" s="94">
        <f t="shared" si="34"/>
        <v>-11.690471715216256</v>
      </c>
      <c r="K109" s="94">
        <f t="shared" si="34"/>
        <v>18.372494195211004</v>
      </c>
      <c r="L109" s="93">
        <f>SUM(D109:INDEX(D109:K109,0,MATCH('RFPR cover'!$C$7,$D$6:$K$6,0)))</f>
        <v>1.29862156615442</v>
      </c>
      <c r="M109" s="95">
        <f>SUM(D109:K109)</f>
        <v>1.29862156615442</v>
      </c>
    </row>
    <row r="110" spans="1:20">
      <c r="A110" s="35"/>
      <c r="B110" s="775"/>
    </row>
    <row r="111" spans="1:20">
      <c r="A111" s="35"/>
      <c r="B111" s="783" t="s">
        <v>180</v>
      </c>
    </row>
    <row r="112" spans="1:20">
      <c r="A112" s="35"/>
      <c r="B112" s="775" t="s">
        <v>179</v>
      </c>
      <c r="C112" s="156" t="s">
        <v>128</v>
      </c>
      <c r="D112" s="96">
        <f>D96+D108</f>
        <v>1.6053003803995902</v>
      </c>
      <c r="E112" s="97">
        <f t="shared" ref="E112:K112" si="35">E96+E108</f>
        <v>5.0281838413144335</v>
      </c>
      <c r="F112" s="97">
        <f t="shared" si="35"/>
        <v>1.9850878064608737</v>
      </c>
      <c r="G112" s="97">
        <f t="shared" si="35"/>
        <v>13.152877330847193</v>
      </c>
      <c r="H112" s="97">
        <f t="shared" si="35"/>
        <v>9.1609572347257995</v>
      </c>
      <c r="I112" s="97">
        <f t="shared" si="35"/>
        <v>9.7672823927833985</v>
      </c>
      <c r="J112" s="97">
        <f t="shared" si="35"/>
        <v>12.534547553573409</v>
      </c>
      <c r="K112" s="97">
        <f t="shared" si="35"/>
        <v>22.808975840119761</v>
      </c>
      <c r="L112" s="96">
        <f>SUM(D112:INDEX(D112:K112,0,MATCH('RFPR cover'!$C$7,$D$6:$K$6,0)))</f>
        <v>76.04321238022446</v>
      </c>
      <c r="M112" s="98">
        <f>SUM(D112:K112)</f>
        <v>76.04321238022446</v>
      </c>
    </row>
    <row r="113" spans="1:20">
      <c r="A113" s="35"/>
      <c r="B113" s="775" t="s">
        <v>278</v>
      </c>
      <c r="C113" s="156" t="s">
        <v>128</v>
      </c>
      <c r="D113" s="522">
        <f>D97+D109</f>
        <v>2.226880045476729</v>
      </c>
      <c r="E113" s="523">
        <f t="shared" ref="E113:K113" si="36">E97+E109</f>
        <v>6.9751196710141219</v>
      </c>
      <c r="F113" s="523">
        <f t="shared" si="36"/>
        <v>2.7537229036390869</v>
      </c>
      <c r="G113" s="523">
        <f t="shared" si="36"/>
        <v>18.245731718680599</v>
      </c>
      <c r="H113" s="523">
        <f t="shared" si="36"/>
        <v>12.708121864643497</v>
      </c>
      <c r="I113" s="523">
        <f t="shared" si="36"/>
        <v>13.549218902951614</v>
      </c>
      <c r="J113" s="523">
        <f t="shared" si="36"/>
        <v>17.387981817573426</v>
      </c>
      <c r="K113" s="523">
        <f t="shared" si="36"/>
        <v>31.640715828822131</v>
      </c>
      <c r="L113" s="522">
        <f>SUM(D113:INDEX(D113:K113,0,MATCH('RFPR cover'!$C$7,$D$6:$K$6,0)))</f>
        <v>105.48749275280119</v>
      </c>
      <c r="M113" s="524">
        <f>SUM(D113:K113)</f>
        <v>105.48749275280119</v>
      </c>
    </row>
    <row r="114" spans="1:20">
      <c r="A114" s="35"/>
      <c r="B114" s="783" t="s">
        <v>11</v>
      </c>
      <c r="C114" s="157" t="s">
        <v>128</v>
      </c>
      <c r="D114" s="146">
        <f>SUM(D112:D113)</f>
        <v>3.8321804258763192</v>
      </c>
      <c r="E114" s="147">
        <f t="shared" ref="E114:K114" si="37">SUM(E112:E113)</f>
        <v>12.003303512328555</v>
      </c>
      <c r="F114" s="147">
        <f t="shared" si="37"/>
        <v>4.7388107100999601</v>
      </c>
      <c r="G114" s="147">
        <f t="shared" si="37"/>
        <v>31.398609049527792</v>
      </c>
      <c r="H114" s="147">
        <f t="shared" si="37"/>
        <v>21.869079099369294</v>
      </c>
      <c r="I114" s="147">
        <f t="shared" si="37"/>
        <v>23.316501295735012</v>
      </c>
      <c r="J114" s="147">
        <f t="shared" si="37"/>
        <v>29.922529371146837</v>
      </c>
      <c r="K114" s="147">
        <f t="shared" si="37"/>
        <v>54.449691668941895</v>
      </c>
      <c r="L114" s="146">
        <f>SUM(D114:INDEX(D114:K114,0,MATCH('RFPR cover'!$C$7,$D$6:$K$6,0)))</f>
        <v>181.53070513302566</v>
      </c>
      <c r="M114" s="148">
        <f>SUM(D114:K114)</f>
        <v>181.53070513302566</v>
      </c>
    </row>
    <row r="115" spans="1:20">
      <c r="A115" s="35"/>
      <c r="B115" s="775"/>
    </row>
    <row r="116" spans="1:20">
      <c r="A116" s="35"/>
      <c r="B116" s="778" t="str">
        <f>B38</f>
        <v>n/a</v>
      </c>
      <c r="C116" s="151"/>
      <c r="D116" s="82"/>
      <c r="E116" s="82"/>
      <c r="F116" s="82"/>
      <c r="G116" s="82"/>
      <c r="H116" s="82"/>
      <c r="I116" s="82"/>
      <c r="J116" s="82"/>
      <c r="K116" s="82"/>
      <c r="L116" s="82"/>
      <c r="M116" s="82"/>
      <c r="N116" s="82"/>
    </row>
    <row r="117" spans="1:20" s="35" customFormat="1">
      <c r="B117" s="776"/>
      <c r="C117" s="139"/>
      <c r="D117" s="321"/>
      <c r="E117" s="321"/>
      <c r="F117" s="321"/>
      <c r="G117" s="321"/>
      <c r="H117" s="321"/>
      <c r="I117" s="321"/>
      <c r="J117" s="321"/>
      <c r="K117" s="321"/>
      <c r="L117" s="321"/>
      <c r="M117" s="321"/>
      <c r="N117" s="321"/>
    </row>
    <row r="118" spans="1:20">
      <c r="A118" s="35"/>
      <c r="B118" s="306" t="s">
        <v>34</v>
      </c>
      <c r="C118" s="156" t="s">
        <v>128</v>
      </c>
      <c r="D118" s="673">
        <f t="shared" ref="D118:K119" si="38">D40*D$86</f>
        <v>0</v>
      </c>
      <c r="E118" s="673">
        <f t="shared" si="38"/>
        <v>0</v>
      </c>
      <c r="F118" s="673">
        <f t="shared" si="38"/>
        <v>0</v>
      </c>
      <c r="G118" s="673">
        <f t="shared" si="38"/>
        <v>0</v>
      </c>
      <c r="H118" s="673">
        <f t="shared" si="38"/>
        <v>0</v>
      </c>
      <c r="I118" s="673">
        <f t="shared" si="38"/>
        <v>0</v>
      </c>
      <c r="J118" s="673">
        <f t="shared" si="38"/>
        <v>0</v>
      </c>
      <c r="K118" s="673">
        <f t="shared" si="38"/>
        <v>0</v>
      </c>
      <c r="L118" s="673">
        <f>SUM(D118:INDEX(D118:K118,0,MATCH('RFPR cover'!$C$7,$D$6:$K$6,0)))</f>
        <v>0</v>
      </c>
      <c r="M118" s="674">
        <f>SUM(D118:K118)</f>
        <v>0</v>
      </c>
      <c r="N118" s="63"/>
      <c r="O118" s="63"/>
    </row>
    <row r="119" spans="1:20" ht="25.5">
      <c r="A119" s="35"/>
      <c r="B119" s="780" t="s">
        <v>196</v>
      </c>
      <c r="C119" s="156" t="s">
        <v>128</v>
      </c>
      <c r="D119" s="673">
        <f t="shared" si="38"/>
        <v>0</v>
      </c>
      <c r="E119" s="673">
        <f t="shared" si="38"/>
        <v>0</v>
      </c>
      <c r="F119" s="673">
        <f t="shared" si="38"/>
        <v>0</v>
      </c>
      <c r="G119" s="673">
        <f t="shared" si="38"/>
        <v>0</v>
      </c>
      <c r="H119" s="673">
        <f t="shared" si="38"/>
        <v>0</v>
      </c>
      <c r="I119" s="673">
        <f t="shared" si="38"/>
        <v>0</v>
      </c>
      <c r="J119" s="673">
        <f t="shared" si="38"/>
        <v>0</v>
      </c>
      <c r="K119" s="673">
        <f t="shared" si="38"/>
        <v>0</v>
      </c>
      <c r="L119" s="675">
        <f>SUM(D119:INDEX(D119:K119,0,MATCH('RFPR cover'!$C$7,$D$6:$K$6,0)))</f>
        <v>0</v>
      </c>
      <c r="M119" s="676">
        <f>SUM(D119:K119)</f>
        <v>0</v>
      </c>
      <c r="N119" s="63"/>
      <c r="O119" s="63"/>
    </row>
    <row r="120" spans="1:20">
      <c r="A120" s="35"/>
      <c r="B120" s="781" t="s">
        <v>194</v>
      </c>
      <c r="C120" s="156" t="s">
        <v>128</v>
      </c>
      <c r="D120" s="103">
        <f>D119-D118</f>
        <v>0</v>
      </c>
      <c r="E120" s="104">
        <f t="shared" ref="E120:M120" si="39">E119-E118</f>
        <v>0</v>
      </c>
      <c r="F120" s="104">
        <f t="shared" si="39"/>
        <v>0</v>
      </c>
      <c r="G120" s="104">
        <f t="shared" si="39"/>
        <v>0</v>
      </c>
      <c r="H120" s="104">
        <f t="shared" si="39"/>
        <v>0</v>
      </c>
      <c r="I120" s="104">
        <f t="shared" si="39"/>
        <v>0</v>
      </c>
      <c r="J120" s="104">
        <f t="shared" si="39"/>
        <v>0</v>
      </c>
      <c r="K120" s="104">
        <f t="shared" si="39"/>
        <v>0</v>
      </c>
      <c r="L120" s="103">
        <f t="shared" si="39"/>
        <v>0</v>
      </c>
      <c r="M120" s="105">
        <f t="shared" si="39"/>
        <v>0</v>
      </c>
      <c r="N120" s="63"/>
      <c r="O120" s="992"/>
      <c r="P120" s="992"/>
      <c r="Q120" s="992"/>
      <c r="R120"/>
      <c r="S120"/>
      <c r="T120"/>
    </row>
    <row r="121" spans="1:20">
      <c r="A121" s="35"/>
      <c r="B121" s="781"/>
      <c r="C121" s="156"/>
      <c r="D121" s="59"/>
      <c r="E121" s="59"/>
      <c r="F121" s="59"/>
      <c r="G121" s="59"/>
      <c r="H121" s="59"/>
      <c r="I121" s="59"/>
      <c r="J121" s="59"/>
      <c r="K121" s="59"/>
      <c r="L121" s="59"/>
      <c r="M121" s="59"/>
      <c r="O121" s="64"/>
      <c r="P121" s="64"/>
      <c r="Q121" s="64"/>
      <c r="R121"/>
      <c r="S121"/>
      <c r="T121"/>
    </row>
    <row r="122" spans="1:20">
      <c r="A122" s="35"/>
      <c r="B122" s="775" t="s">
        <v>177</v>
      </c>
      <c r="C122" s="137" t="s">
        <v>7</v>
      </c>
      <c r="D122" s="110">
        <f>1-INDEX(Data!$D$73:$D$100,MATCH('RFPR cover'!$C$5,Data!$B$73:$B$100,0),0)</f>
        <v>0.41890000000000005</v>
      </c>
      <c r="E122" s="111">
        <f>1-INDEX(Data!$D$73:$D$100,MATCH('RFPR cover'!$C$5,Data!$B$73:$B$100,0),0)</f>
        <v>0.41890000000000005</v>
      </c>
      <c r="F122" s="111">
        <f>1-INDEX(Data!$D$73:$D$100,MATCH('RFPR cover'!$C$5,Data!$B$73:$B$100,0),0)</f>
        <v>0.41890000000000005</v>
      </c>
      <c r="G122" s="111">
        <f>1-INDEX(Data!$D$73:$D$100,MATCH('RFPR cover'!$C$5,Data!$B$73:$B$100,0),0)</f>
        <v>0.41890000000000005</v>
      </c>
      <c r="H122" s="111">
        <f>1-INDEX(Data!$D$73:$D$100,MATCH('RFPR cover'!$C$5,Data!$B$73:$B$100,0),0)</f>
        <v>0.41890000000000005</v>
      </c>
      <c r="I122" s="111">
        <f>1-INDEX(Data!$D$73:$D$100,MATCH('RFPR cover'!$C$5,Data!$B$73:$B$100,0),0)</f>
        <v>0.41890000000000005</v>
      </c>
      <c r="J122" s="111">
        <f>1-INDEX(Data!$D$73:$D$100,MATCH('RFPR cover'!$C$5,Data!$B$73:$B$100,0),0)</f>
        <v>0.41890000000000005</v>
      </c>
      <c r="K122" s="112">
        <f>1-INDEX(Data!$D$73:$D$100,MATCH('RFPR cover'!$C$5,Data!$B$73:$B$100,0),0)</f>
        <v>0.41890000000000005</v>
      </c>
      <c r="L122" s="62"/>
      <c r="M122" s="62"/>
      <c r="O122"/>
      <c r="P122"/>
      <c r="Q122"/>
      <c r="R122"/>
      <c r="S122"/>
      <c r="T122"/>
    </row>
    <row r="123" spans="1:20">
      <c r="A123" s="35"/>
      <c r="B123" s="775"/>
      <c r="O123"/>
      <c r="P123"/>
      <c r="Q123"/>
      <c r="R123"/>
      <c r="S123"/>
      <c r="T123"/>
    </row>
    <row r="124" spans="1:20">
      <c r="A124" s="35"/>
      <c r="B124" s="782" t="s">
        <v>182</v>
      </c>
      <c r="C124" s="160" t="s">
        <v>128</v>
      </c>
      <c r="D124" s="96">
        <f>D120*D122</f>
        <v>0</v>
      </c>
      <c r="E124" s="97">
        <f t="shared" ref="E124:K124" si="40">E120*E122</f>
        <v>0</v>
      </c>
      <c r="F124" s="97">
        <f t="shared" si="40"/>
        <v>0</v>
      </c>
      <c r="G124" s="97">
        <f t="shared" si="40"/>
        <v>0</v>
      </c>
      <c r="H124" s="97">
        <f t="shared" si="40"/>
        <v>0</v>
      </c>
      <c r="I124" s="97">
        <f t="shared" si="40"/>
        <v>0</v>
      </c>
      <c r="J124" s="97">
        <f t="shared" si="40"/>
        <v>0</v>
      </c>
      <c r="K124" s="97">
        <f t="shared" si="40"/>
        <v>0</v>
      </c>
      <c r="L124" s="96">
        <f>SUM(D124:INDEX(D124:K124,0,MATCH('RFPR cover'!$C$7,$D$6:$K$6,0)))</f>
        <v>0</v>
      </c>
      <c r="M124" s="98">
        <f>SUM(D124:K124)</f>
        <v>0</v>
      </c>
      <c r="O124"/>
      <c r="P124"/>
      <c r="Q124"/>
      <c r="R124"/>
      <c r="S124"/>
      <c r="T124"/>
    </row>
    <row r="125" spans="1:20">
      <c r="A125" s="35"/>
      <c r="B125" s="782" t="s">
        <v>178</v>
      </c>
      <c r="C125" s="160" t="s">
        <v>128</v>
      </c>
      <c r="D125" s="93">
        <f>D120*(1-D122)</f>
        <v>0</v>
      </c>
      <c r="E125" s="94">
        <f t="shared" ref="E125:K125" si="41">E120*(1-E122)</f>
        <v>0</v>
      </c>
      <c r="F125" s="94">
        <f t="shared" si="41"/>
        <v>0</v>
      </c>
      <c r="G125" s="94">
        <f t="shared" si="41"/>
        <v>0</v>
      </c>
      <c r="H125" s="94">
        <f t="shared" si="41"/>
        <v>0</v>
      </c>
      <c r="I125" s="94">
        <f t="shared" si="41"/>
        <v>0</v>
      </c>
      <c r="J125" s="94">
        <f t="shared" si="41"/>
        <v>0</v>
      </c>
      <c r="K125" s="94">
        <f t="shared" si="41"/>
        <v>0</v>
      </c>
      <c r="L125" s="93">
        <f>SUM(D125:INDEX(D125:K125,0,MATCH('RFPR cover'!$C$7,$D$6:$K$6,0)))</f>
        <v>0</v>
      </c>
      <c r="M125" s="95">
        <f>SUM(D125:K125)</f>
        <v>0</v>
      </c>
      <c r="O125"/>
      <c r="P125"/>
      <c r="Q125"/>
      <c r="R125"/>
      <c r="S125"/>
      <c r="T125"/>
    </row>
    <row r="126" spans="1:20">
      <c r="A126" s="35"/>
      <c r="B126" s="775"/>
      <c r="O126"/>
      <c r="P126"/>
      <c r="Q126"/>
      <c r="R126"/>
      <c r="S126"/>
      <c r="T126"/>
    </row>
    <row r="127" spans="1:20">
      <c r="A127" s="35"/>
      <c r="B127" s="783" t="s">
        <v>181</v>
      </c>
      <c r="N127" s="63"/>
      <c r="O127"/>
      <c r="P127"/>
      <c r="Q127"/>
      <c r="R127"/>
      <c r="S127"/>
      <c r="T127"/>
    </row>
    <row r="128" spans="1:20">
      <c r="A128" s="270" t="s">
        <v>151</v>
      </c>
      <c r="B128" s="226" t="str">
        <f t="shared" ref="B128:B133" si="42">B50</f>
        <v>[Enduring Value adjustment]</v>
      </c>
      <c r="C128" s="156" t="s">
        <v>128</v>
      </c>
      <c r="D128" s="586">
        <f t="shared" ref="D128:K133" si="43">D50*D$86</f>
        <v>0</v>
      </c>
      <c r="E128" s="586">
        <f t="shared" si="43"/>
        <v>0</v>
      </c>
      <c r="F128" s="586">
        <f t="shared" si="43"/>
        <v>0</v>
      </c>
      <c r="G128" s="586">
        <f t="shared" si="43"/>
        <v>0</v>
      </c>
      <c r="H128" s="586">
        <f t="shared" si="43"/>
        <v>0</v>
      </c>
      <c r="I128" s="586">
        <f t="shared" si="43"/>
        <v>0</v>
      </c>
      <c r="J128" s="586">
        <f t="shared" si="43"/>
        <v>0</v>
      </c>
      <c r="K128" s="586">
        <f t="shared" si="43"/>
        <v>0</v>
      </c>
      <c r="L128" s="586">
        <f>SUM(D128:INDEX(D128:K128,0,MATCH('RFPR cover'!$C$7,$D$6:$K$6,0)))</f>
        <v>0</v>
      </c>
      <c r="M128" s="587">
        <f t="shared" ref="M128:M134" si="44">SUM(D128:K128)</f>
        <v>0</v>
      </c>
      <c r="N128" s="63"/>
      <c r="O128"/>
      <c r="P128"/>
      <c r="Q128"/>
      <c r="R128"/>
      <c r="S128"/>
      <c r="T128"/>
    </row>
    <row r="129" spans="1:20">
      <c r="A129" s="270" t="s">
        <v>152</v>
      </c>
      <c r="B129" s="226" t="str">
        <f t="shared" si="42"/>
        <v>[Enduring Value adjustment]</v>
      </c>
      <c r="C129" s="156" t="s">
        <v>128</v>
      </c>
      <c r="D129" s="586">
        <f t="shared" si="43"/>
        <v>0</v>
      </c>
      <c r="E129" s="586">
        <f t="shared" si="43"/>
        <v>0</v>
      </c>
      <c r="F129" s="586">
        <f t="shared" si="43"/>
        <v>0</v>
      </c>
      <c r="G129" s="586">
        <f t="shared" si="43"/>
        <v>0</v>
      </c>
      <c r="H129" s="586">
        <f t="shared" si="43"/>
        <v>0</v>
      </c>
      <c r="I129" s="586">
        <f t="shared" si="43"/>
        <v>0</v>
      </c>
      <c r="J129" s="586">
        <f t="shared" si="43"/>
        <v>0</v>
      </c>
      <c r="K129" s="586">
        <f t="shared" si="43"/>
        <v>0</v>
      </c>
      <c r="L129" s="590">
        <f>SUM(D129:INDEX(D129:K129,0,MATCH('RFPR cover'!$C$7,$D$6:$K$6,0)))</f>
        <v>0</v>
      </c>
      <c r="M129" s="591">
        <f t="shared" si="44"/>
        <v>0</v>
      </c>
      <c r="N129" s="63"/>
      <c r="O129"/>
      <c r="P129"/>
      <c r="Q129"/>
      <c r="R129"/>
      <c r="S129"/>
      <c r="T129"/>
    </row>
    <row r="130" spans="1:20">
      <c r="A130" s="270" t="s">
        <v>153</v>
      </c>
      <c r="B130" s="226" t="str">
        <f t="shared" si="42"/>
        <v>[Enduring Value adjustment]</v>
      </c>
      <c r="C130" s="156" t="s">
        <v>128</v>
      </c>
      <c r="D130" s="586">
        <f t="shared" si="43"/>
        <v>0</v>
      </c>
      <c r="E130" s="586">
        <f t="shared" si="43"/>
        <v>0</v>
      </c>
      <c r="F130" s="586">
        <f t="shared" si="43"/>
        <v>0</v>
      </c>
      <c r="G130" s="586">
        <f t="shared" si="43"/>
        <v>0</v>
      </c>
      <c r="H130" s="586">
        <f t="shared" si="43"/>
        <v>0</v>
      </c>
      <c r="I130" s="586">
        <f t="shared" si="43"/>
        <v>0</v>
      </c>
      <c r="J130" s="586">
        <f t="shared" si="43"/>
        <v>0</v>
      </c>
      <c r="K130" s="586">
        <f t="shared" si="43"/>
        <v>0</v>
      </c>
      <c r="L130" s="590">
        <f>SUM(D130:INDEX(D130:K130,0,MATCH('RFPR cover'!$C$7,$D$6:$K$6,0)))</f>
        <v>0</v>
      </c>
      <c r="M130" s="591">
        <f t="shared" si="44"/>
        <v>0</v>
      </c>
      <c r="N130" s="63"/>
      <c r="O130"/>
      <c r="P130"/>
      <c r="Q130"/>
      <c r="R130"/>
      <c r="S130" s="65"/>
      <c r="T130"/>
    </row>
    <row r="131" spans="1:20">
      <c r="A131" s="270" t="s">
        <v>167</v>
      </c>
      <c r="B131" s="226" t="str">
        <f t="shared" si="42"/>
        <v>[Enduring Value adjustment]</v>
      </c>
      <c r="C131" s="156" t="s">
        <v>128</v>
      </c>
      <c r="D131" s="586">
        <f t="shared" si="43"/>
        <v>0</v>
      </c>
      <c r="E131" s="586">
        <f t="shared" si="43"/>
        <v>0</v>
      </c>
      <c r="F131" s="586">
        <f t="shared" si="43"/>
        <v>0</v>
      </c>
      <c r="G131" s="586">
        <f t="shared" si="43"/>
        <v>0</v>
      </c>
      <c r="H131" s="586">
        <f t="shared" si="43"/>
        <v>0</v>
      </c>
      <c r="I131" s="586">
        <f t="shared" si="43"/>
        <v>0</v>
      </c>
      <c r="J131" s="586">
        <f t="shared" si="43"/>
        <v>0</v>
      </c>
      <c r="K131" s="586">
        <f t="shared" si="43"/>
        <v>0</v>
      </c>
      <c r="L131" s="590">
        <f>SUM(D131:INDEX(D131:K131,0,MATCH('RFPR cover'!$C$7,$D$6:$K$6,0)))</f>
        <v>0</v>
      </c>
      <c r="M131" s="591">
        <f t="shared" si="44"/>
        <v>0</v>
      </c>
      <c r="N131" s="63"/>
      <c r="O131"/>
      <c r="P131"/>
      <c r="Q131"/>
      <c r="R131"/>
      <c r="S131"/>
      <c r="T131"/>
    </row>
    <row r="132" spans="1:20">
      <c r="A132" s="270" t="s">
        <v>168</v>
      </c>
      <c r="B132" s="226" t="str">
        <f t="shared" si="42"/>
        <v>[Enduring Value adjustment]</v>
      </c>
      <c r="C132" s="156" t="s">
        <v>128</v>
      </c>
      <c r="D132" s="586">
        <f t="shared" si="43"/>
        <v>0</v>
      </c>
      <c r="E132" s="586">
        <f t="shared" si="43"/>
        <v>0</v>
      </c>
      <c r="F132" s="586">
        <f t="shared" si="43"/>
        <v>0</v>
      </c>
      <c r="G132" s="586">
        <f t="shared" si="43"/>
        <v>0</v>
      </c>
      <c r="H132" s="586">
        <f t="shared" si="43"/>
        <v>0</v>
      </c>
      <c r="I132" s="586">
        <f t="shared" si="43"/>
        <v>0</v>
      </c>
      <c r="J132" s="586">
        <f t="shared" si="43"/>
        <v>0</v>
      </c>
      <c r="K132" s="586">
        <f t="shared" si="43"/>
        <v>0</v>
      </c>
      <c r="L132" s="590">
        <f>SUM(D132:INDEX(D132:K132,0,MATCH('RFPR cover'!$C$7,$D$6:$K$6,0)))</f>
        <v>0</v>
      </c>
      <c r="M132" s="591">
        <f t="shared" si="44"/>
        <v>0</v>
      </c>
      <c r="N132" s="63"/>
      <c r="O132"/>
      <c r="P132"/>
      <c r="Q132"/>
      <c r="R132"/>
      <c r="S132"/>
      <c r="T132"/>
    </row>
    <row r="133" spans="1:20">
      <c r="A133" s="270" t="s">
        <v>169</v>
      </c>
      <c r="B133" s="226" t="str">
        <f t="shared" si="42"/>
        <v>[Enduring Value adjustment]</v>
      </c>
      <c r="C133" s="156" t="s">
        <v>128</v>
      </c>
      <c r="D133" s="586">
        <f t="shared" si="43"/>
        <v>0</v>
      </c>
      <c r="E133" s="586">
        <f t="shared" si="43"/>
        <v>0</v>
      </c>
      <c r="F133" s="586">
        <f t="shared" si="43"/>
        <v>0</v>
      </c>
      <c r="G133" s="586">
        <f t="shared" si="43"/>
        <v>0</v>
      </c>
      <c r="H133" s="586">
        <f t="shared" si="43"/>
        <v>0</v>
      </c>
      <c r="I133" s="586">
        <f t="shared" si="43"/>
        <v>0</v>
      </c>
      <c r="J133" s="586">
        <f t="shared" si="43"/>
        <v>0</v>
      </c>
      <c r="K133" s="586">
        <f t="shared" si="43"/>
        <v>0</v>
      </c>
      <c r="L133" s="594">
        <f>SUM(D133:INDEX(D133:K133,0,MATCH('RFPR cover'!$C$7,$D$6:$K$6,0)))</f>
        <v>0</v>
      </c>
      <c r="M133" s="595">
        <f t="shared" si="44"/>
        <v>0</v>
      </c>
      <c r="N133" s="63"/>
      <c r="O133"/>
      <c r="P133"/>
      <c r="Q133"/>
      <c r="R133"/>
      <c r="S133"/>
      <c r="T133"/>
    </row>
    <row r="134" spans="1:20">
      <c r="A134" s="35"/>
      <c r="B134" s="783" t="s">
        <v>189</v>
      </c>
      <c r="C134" s="156" t="s">
        <v>128</v>
      </c>
      <c r="D134" s="103">
        <f>SUM(D128:D133)</f>
        <v>0</v>
      </c>
      <c r="E134" s="104">
        <f t="shared" ref="E134:K134" si="45">SUM(E128:E133)</f>
        <v>0</v>
      </c>
      <c r="F134" s="104">
        <f t="shared" si="45"/>
        <v>0</v>
      </c>
      <c r="G134" s="104">
        <f t="shared" si="45"/>
        <v>0</v>
      </c>
      <c r="H134" s="104">
        <f t="shared" si="45"/>
        <v>0</v>
      </c>
      <c r="I134" s="104">
        <f t="shared" si="45"/>
        <v>0</v>
      </c>
      <c r="J134" s="104">
        <f t="shared" si="45"/>
        <v>0</v>
      </c>
      <c r="K134" s="104">
        <f t="shared" si="45"/>
        <v>0</v>
      </c>
      <c r="L134" s="103">
        <f>SUM(D134:INDEX(D134:K134,0,MATCH('RFPR cover'!$C$7,$D$6:$K$6,0)))</f>
        <v>0</v>
      </c>
      <c r="M134" s="105">
        <f t="shared" si="44"/>
        <v>0</v>
      </c>
      <c r="N134" s="63"/>
    </row>
    <row r="135" spans="1:20">
      <c r="A135" s="35"/>
      <c r="B135" s="775"/>
    </row>
    <row r="136" spans="1:20">
      <c r="A136" s="35"/>
      <c r="B136" s="782" t="s">
        <v>197</v>
      </c>
      <c r="C136" s="160" t="s">
        <v>128</v>
      </c>
      <c r="D136" s="96">
        <f t="shared" ref="D136:K136" si="46">D134*D122</f>
        <v>0</v>
      </c>
      <c r="E136" s="97">
        <f t="shared" si="46"/>
        <v>0</v>
      </c>
      <c r="F136" s="97">
        <f t="shared" si="46"/>
        <v>0</v>
      </c>
      <c r="G136" s="97">
        <f t="shared" si="46"/>
        <v>0</v>
      </c>
      <c r="H136" s="97">
        <f t="shared" si="46"/>
        <v>0</v>
      </c>
      <c r="I136" s="97">
        <f t="shared" si="46"/>
        <v>0</v>
      </c>
      <c r="J136" s="97">
        <f t="shared" si="46"/>
        <v>0</v>
      </c>
      <c r="K136" s="97">
        <f t="shared" si="46"/>
        <v>0</v>
      </c>
      <c r="L136" s="96">
        <f>SUM(D136:INDEX(D136:K136,0,MATCH('RFPR cover'!$C$7,$D$6:$K$6,0)))</f>
        <v>0</v>
      </c>
      <c r="M136" s="98">
        <f>SUM(D136:K136)</f>
        <v>0</v>
      </c>
    </row>
    <row r="137" spans="1:20">
      <c r="A137" s="35"/>
      <c r="B137" s="782" t="s">
        <v>307</v>
      </c>
      <c r="C137" s="160" t="s">
        <v>128</v>
      </c>
      <c r="D137" s="93">
        <f t="shared" ref="D137:K137" si="47">D134*(1-D122)</f>
        <v>0</v>
      </c>
      <c r="E137" s="94">
        <f t="shared" si="47"/>
        <v>0</v>
      </c>
      <c r="F137" s="94">
        <f t="shared" si="47"/>
        <v>0</v>
      </c>
      <c r="G137" s="94">
        <f t="shared" si="47"/>
        <v>0</v>
      </c>
      <c r="H137" s="94">
        <f t="shared" si="47"/>
        <v>0</v>
      </c>
      <c r="I137" s="94">
        <f t="shared" si="47"/>
        <v>0</v>
      </c>
      <c r="J137" s="94">
        <f t="shared" si="47"/>
        <v>0</v>
      </c>
      <c r="K137" s="94">
        <f t="shared" si="47"/>
        <v>0</v>
      </c>
      <c r="L137" s="93">
        <f>SUM(D137:INDEX(D137:K137,0,MATCH('RFPR cover'!$C$7,$D$6:$K$6,0)))</f>
        <v>0</v>
      </c>
      <c r="M137" s="95">
        <f>SUM(D137:K137)</f>
        <v>0</v>
      </c>
    </row>
    <row r="138" spans="1:20">
      <c r="A138" s="35"/>
      <c r="B138" s="775"/>
    </row>
    <row r="139" spans="1:20">
      <c r="A139" s="35"/>
      <c r="B139" s="783" t="s">
        <v>180</v>
      </c>
    </row>
    <row r="140" spans="1:20">
      <c r="A140" s="35"/>
      <c r="B140" s="775" t="s">
        <v>179</v>
      </c>
      <c r="C140" s="156" t="s">
        <v>128</v>
      </c>
      <c r="D140" s="96">
        <f>D124+D136</f>
        <v>0</v>
      </c>
      <c r="E140" s="97">
        <f t="shared" ref="E140:K140" si="48">E124+E136</f>
        <v>0</v>
      </c>
      <c r="F140" s="97">
        <f t="shared" si="48"/>
        <v>0</v>
      </c>
      <c r="G140" s="97">
        <f t="shared" si="48"/>
        <v>0</v>
      </c>
      <c r="H140" s="97">
        <f t="shared" si="48"/>
        <v>0</v>
      </c>
      <c r="I140" s="97">
        <f t="shared" si="48"/>
        <v>0</v>
      </c>
      <c r="J140" s="97">
        <f t="shared" si="48"/>
        <v>0</v>
      </c>
      <c r="K140" s="97">
        <f t="shared" si="48"/>
        <v>0</v>
      </c>
      <c r="L140" s="96">
        <f>SUM(D140:INDEX(D140:K140,0,MATCH('RFPR cover'!$C$7,$D$6:$K$6,0)))</f>
        <v>0</v>
      </c>
      <c r="M140" s="98">
        <f>SUM(D140:K140)</f>
        <v>0</v>
      </c>
    </row>
    <row r="141" spans="1:20">
      <c r="A141" s="35"/>
      <c r="B141" s="775" t="s">
        <v>278</v>
      </c>
      <c r="C141" s="156" t="s">
        <v>128</v>
      </c>
      <c r="D141" s="99">
        <f>D125+D137</f>
        <v>0</v>
      </c>
      <c r="E141" s="100">
        <f t="shared" ref="E141:K141" si="49">E125+E137</f>
        <v>0</v>
      </c>
      <c r="F141" s="100">
        <f t="shared" si="49"/>
        <v>0</v>
      </c>
      <c r="G141" s="100">
        <f t="shared" si="49"/>
        <v>0</v>
      </c>
      <c r="H141" s="100">
        <f t="shared" si="49"/>
        <v>0</v>
      </c>
      <c r="I141" s="100">
        <f t="shared" si="49"/>
        <v>0</v>
      </c>
      <c r="J141" s="100">
        <f t="shared" si="49"/>
        <v>0</v>
      </c>
      <c r="K141" s="100">
        <f t="shared" si="49"/>
        <v>0</v>
      </c>
      <c r="L141" s="99">
        <f>SUM(D141:INDEX(D141:K141,0,MATCH('RFPR cover'!$C$7,$D$6:$K$6,0)))</f>
        <v>0</v>
      </c>
      <c r="M141" s="101">
        <f>SUM(D141:K141)</f>
        <v>0</v>
      </c>
    </row>
    <row r="142" spans="1:20">
      <c r="A142" s="35"/>
      <c r="B142" s="783" t="s">
        <v>11</v>
      </c>
      <c r="C142" s="157" t="s">
        <v>128</v>
      </c>
      <c r="D142" s="140">
        <f>SUM(D140:D141)</f>
        <v>0</v>
      </c>
      <c r="E142" s="141">
        <f t="shared" ref="E142:K142" si="50">SUM(E140:E141)</f>
        <v>0</v>
      </c>
      <c r="F142" s="141">
        <f t="shared" si="50"/>
        <v>0</v>
      </c>
      <c r="G142" s="141">
        <f t="shared" si="50"/>
        <v>0</v>
      </c>
      <c r="H142" s="141">
        <f t="shared" si="50"/>
        <v>0</v>
      </c>
      <c r="I142" s="141">
        <f t="shared" si="50"/>
        <v>0</v>
      </c>
      <c r="J142" s="141">
        <f t="shared" si="50"/>
        <v>0</v>
      </c>
      <c r="K142" s="141">
        <f t="shared" si="50"/>
        <v>0</v>
      </c>
      <c r="L142" s="140">
        <f>SUM(D142:INDEX(D142:K142,0,MATCH('RFPR cover'!$C$7,$D$6:$K$6,0)))</f>
        <v>0</v>
      </c>
      <c r="M142" s="142">
        <f>SUM(D142:K142)</f>
        <v>0</v>
      </c>
    </row>
    <row r="143" spans="1:20">
      <c r="A143" s="35"/>
      <c r="B143" s="783"/>
      <c r="C143" s="157"/>
      <c r="D143" s="157"/>
      <c r="E143" s="157"/>
      <c r="F143" s="157"/>
      <c r="G143" s="157"/>
      <c r="H143" s="157"/>
      <c r="I143" s="157"/>
      <c r="J143" s="157"/>
      <c r="K143" s="157"/>
      <c r="L143" s="157"/>
      <c r="M143" s="157"/>
    </row>
    <row r="144" spans="1:20">
      <c r="A144" s="35"/>
      <c r="B144" s="778" t="s">
        <v>255</v>
      </c>
      <c r="C144" s="151"/>
      <c r="D144" s="82"/>
      <c r="E144" s="82"/>
      <c r="F144" s="82"/>
      <c r="G144" s="82"/>
      <c r="H144" s="82"/>
      <c r="I144" s="82"/>
      <c r="J144" s="82"/>
      <c r="K144" s="82"/>
      <c r="L144" s="82"/>
      <c r="M144" s="82"/>
      <c r="N144" s="82"/>
    </row>
    <row r="145" spans="1:20">
      <c r="A145" s="35"/>
      <c r="B145" s="775"/>
      <c r="O145"/>
      <c r="P145"/>
      <c r="Q145"/>
      <c r="R145"/>
      <c r="S145"/>
      <c r="T145"/>
    </row>
    <row r="146" spans="1:20">
      <c r="A146" s="35"/>
      <c r="B146" s="783" t="s">
        <v>180</v>
      </c>
    </row>
    <row r="147" spans="1:20">
      <c r="A147" s="35"/>
      <c r="B147" s="775" t="s">
        <v>179</v>
      </c>
      <c r="C147" s="156" t="s">
        <v>128</v>
      </c>
      <c r="D147" s="96">
        <f>D112+D140</f>
        <v>1.6053003803995902</v>
      </c>
      <c r="E147" s="97">
        <f t="shared" ref="E147:K147" si="51">E112+E140</f>
        <v>5.0281838413144335</v>
      </c>
      <c r="F147" s="97">
        <f t="shared" si="51"/>
        <v>1.9850878064608737</v>
      </c>
      <c r="G147" s="97">
        <f t="shared" si="51"/>
        <v>13.152877330847193</v>
      </c>
      <c r="H147" s="97">
        <f t="shared" si="51"/>
        <v>9.1609572347257995</v>
      </c>
      <c r="I147" s="97">
        <f t="shared" si="51"/>
        <v>9.7672823927833985</v>
      </c>
      <c r="J147" s="97">
        <f t="shared" si="51"/>
        <v>12.534547553573409</v>
      </c>
      <c r="K147" s="97">
        <f t="shared" si="51"/>
        <v>22.808975840119761</v>
      </c>
      <c r="L147" s="96">
        <f>SUM(D147:INDEX(D147:K147,0,MATCH('RFPR cover'!$C$7,$D$6:$K$6,0)))</f>
        <v>76.04321238022446</v>
      </c>
      <c r="M147" s="98">
        <f>SUM(D147:K147)</f>
        <v>76.04321238022446</v>
      </c>
    </row>
    <row r="148" spans="1:20">
      <c r="A148" s="35"/>
      <c r="B148" s="775" t="s">
        <v>278</v>
      </c>
      <c r="C148" s="156" t="s">
        <v>128</v>
      </c>
      <c r="D148" s="99">
        <f t="shared" ref="D148:K148" si="52">D113+D141</f>
        <v>2.226880045476729</v>
      </c>
      <c r="E148" s="100">
        <f t="shared" si="52"/>
        <v>6.9751196710141219</v>
      </c>
      <c r="F148" s="100">
        <f t="shared" si="52"/>
        <v>2.7537229036390869</v>
      </c>
      <c r="G148" s="100">
        <f t="shared" si="52"/>
        <v>18.245731718680599</v>
      </c>
      <c r="H148" s="100">
        <f t="shared" si="52"/>
        <v>12.708121864643497</v>
      </c>
      <c r="I148" s="100">
        <f t="shared" si="52"/>
        <v>13.549218902951614</v>
      </c>
      <c r="J148" s="100">
        <f t="shared" si="52"/>
        <v>17.387981817573426</v>
      </c>
      <c r="K148" s="100">
        <f t="shared" si="52"/>
        <v>31.640715828822131</v>
      </c>
      <c r="L148" s="99">
        <f>SUM(D148:INDEX(D148:K148,0,MATCH('RFPR cover'!$C$7,$D$6:$K$6,0)))</f>
        <v>105.48749275280119</v>
      </c>
      <c r="M148" s="101">
        <f>SUM(D148:K148)</f>
        <v>105.48749275280119</v>
      </c>
    </row>
    <row r="149" spans="1:20">
      <c r="A149" s="35"/>
      <c r="B149" s="783" t="s">
        <v>11</v>
      </c>
      <c r="C149" s="157" t="s">
        <v>128</v>
      </c>
      <c r="D149" s="140">
        <f>SUM(D147:D148)</f>
        <v>3.8321804258763192</v>
      </c>
      <c r="E149" s="141">
        <f t="shared" ref="E149:K149" si="53">SUM(E147:E148)</f>
        <v>12.003303512328555</v>
      </c>
      <c r="F149" s="141">
        <f t="shared" si="53"/>
        <v>4.7388107100999601</v>
      </c>
      <c r="G149" s="141">
        <f t="shared" si="53"/>
        <v>31.398609049527792</v>
      </c>
      <c r="H149" s="141">
        <f t="shared" si="53"/>
        <v>21.869079099369294</v>
      </c>
      <c r="I149" s="141">
        <f t="shared" si="53"/>
        <v>23.316501295735012</v>
      </c>
      <c r="J149" s="141">
        <f t="shared" si="53"/>
        <v>29.922529371146837</v>
      </c>
      <c r="K149" s="141">
        <f t="shared" si="53"/>
        <v>54.449691668941895</v>
      </c>
      <c r="L149" s="140">
        <f>SUM(D149:INDEX(D149:K149,0,MATCH('RFPR cover'!$C$7,$D$6:$K$6,0)))</f>
        <v>181.53070513302566</v>
      </c>
      <c r="M149" s="142">
        <f>SUM(D149:K149)</f>
        <v>181.53070513302566</v>
      </c>
    </row>
    <row r="150" spans="1:20">
      <c r="A150" s="35"/>
      <c r="B150" s="782"/>
      <c r="D150" s="137"/>
      <c r="E150" s="137"/>
      <c r="F150" s="137"/>
      <c r="G150" s="137"/>
      <c r="H150" s="137"/>
      <c r="I150" s="137"/>
      <c r="J150" s="137"/>
      <c r="K150" s="137"/>
    </row>
    <row r="151" spans="1:20">
      <c r="A151" s="35"/>
      <c r="B151" s="775"/>
    </row>
    <row r="152" spans="1:20">
      <c r="A152" s="82"/>
      <c r="B152" s="774"/>
      <c r="C152" s="151"/>
      <c r="D152" s="82"/>
      <c r="E152" s="82"/>
      <c r="F152" s="82"/>
      <c r="G152" s="82"/>
      <c r="H152" s="82"/>
      <c r="I152" s="82"/>
      <c r="J152" s="82"/>
      <c r="K152" s="82"/>
      <c r="L152" s="82"/>
      <c r="M152" s="82"/>
      <c r="N152" s="82"/>
    </row>
    <row r="153" spans="1:20">
      <c r="B153" s="775"/>
    </row>
    <row r="154" spans="1:20">
      <c r="B154" s="775"/>
    </row>
  </sheetData>
  <mergeCells count="4">
    <mergeCell ref="O14:Q14"/>
    <mergeCell ref="O42:Q42"/>
    <mergeCell ref="O92:Q92"/>
    <mergeCell ref="O120:Q120"/>
  </mergeCells>
  <conditionalFormatting sqref="D6:K6">
    <cfRule type="expression" dxfId="49" priority="7">
      <formula>AND(D$5="Actuals",E$5="Forecast")</formula>
    </cfRule>
  </conditionalFormatting>
  <conditionalFormatting sqref="B118:M142">
    <cfRule type="expression" dxfId="48" priority="3">
      <formula>$B$38="n/a"</formula>
    </cfRule>
  </conditionalFormatting>
  <conditionalFormatting sqref="D5:K5">
    <cfRule type="expression" dxfId="47" priority="2">
      <formula>AND(D$5="Actuals",E$5="Forecast")</formula>
    </cfRule>
  </conditionalFormatting>
  <conditionalFormatting sqref="B38:N64">
    <cfRule type="expression" dxfId="46"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80" zoomScaleNormal="80" workbookViewId="0">
      <pane ySplit="6" topLeftCell="A28" activePane="bottomLeft" state="frozen"/>
      <selection activeCell="B75" sqref="A1:XFD1048576"/>
      <selection pane="bottomLeft" activeCell="K12" sqref="K12"/>
    </sheetView>
  </sheetViews>
  <sheetFormatPr defaultRowHeight="12.75"/>
  <cols>
    <col min="1" max="1" width="8.375" customWidth="1"/>
    <col min="2" max="2" width="71.375" bestFit="1" customWidth="1"/>
    <col min="3" max="3" width="13.375" style="137" customWidth="1"/>
    <col min="4" max="11" width="11.125" customWidth="1"/>
    <col min="12" max="12" width="12.875" customWidth="1"/>
    <col min="13" max="13" width="12.75" customWidth="1"/>
    <col min="14" max="14" width="5" customWidth="1"/>
  </cols>
  <sheetData>
    <row r="1" spans="1:14" s="37" customFormat="1" ht="20.25">
      <c r="A1" s="934" t="s">
        <v>260</v>
      </c>
      <c r="B1" s="935"/>
      <c r="C1" s="154"/>
      <c r="D1" s="132"/>
      <c r="E1" s="132"/>
      <c r="F1" s="132"/>
      <c r="G1" s="132"/>
      <c r="H1" s="132"/>
      <c r="I1" s="128"/>
      <c r="J1" s="128"/>
      <c r="K1" s="128"/>
      <c r="L1" s="128"/>
      <c r="M1" s="128"/>
      <c r="N1" s="129"/>
    </row>
    <row r="2" spans="1:14" s="37" customFormat="1" ht="20.25">
      <c r="A2" s="936" t="str">
        <f>'RFPR cover'!C5</f>
        <v>ENWL</v>
      </c>
      <c r="B2" s="937"/>
      <c r="C2" s="155"/>
      <c r="D2" s="36"/>
      <c r="E2" s="36"/>
      <c r="F2" s="36"/>
      <c r="G2" s="36"/>
      <c r="H2" s="36"/>
      <c r="I2" s="27"/>
      <c r="J2" s="27"/>
      <c r="K2" s="27"/>
      <c r="L2" s="27"/>
      <c r="M2" s="27"/>
      <c r="N2" s="124"/>
    </row>
    <row r="3" spans="1:14" s="37" customFormat="1" ht="20.25">
      <c r="A3" s="938">
        <f>'RFPR cover'!C7</f>
        <v>2023</v>
      </c>
      <c r="B3" s="939"/>
      <c r="C3" s="136"/>
      <c r="D3" s="133"/>
      <c r="E3" s="133"/>
      <c r="F3" s="133"/>
      <c r="G3" s="133"/>
      <c r="H3" s="133"/>
      <c r="I3" s="28"/>
      <c r="J3" s="28"/>
      <c r="K3" s="28"/>
      <c r="L3" s="28"/>
      <c r="M3" s="28"/>
      <c r="N3" s="126"/>
    </row>
    <row r="4" spans="1:14" s="2" customFormat="1" ht="12.75" customHeight="1">
      <c r="B4" s="3"/>
      <c r="C4" s="137"/>
    </row>
    <row r="5" spans="1:14" s="2" customFormat="1" ht="12.75" customHeight="1">
      <c r="B5" s="3"/>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Actuals</v>
      </c>
    </row>
    <row r="6" spans="1:14" s="2" customFormat="1" ht="29.25" customHeigh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2023</v>
      </c>
      <c r="M6" s="120" t="s">
        <v>109</v>
      </c>
    </row>
    <row r="7" spans="1:14" s="2" customFormat="1">
      <c r="A7" s="35"/>
      <c r="C7" s="137"/>
    </row>
    <row r="8" spans="1:14" s="2" customFormat="1">
      <c r="A8" s="35"/>
      <c r="B8" s="117" t="s">
        <v>198</v>
      </c>
      <c r="C8" s="151"/>
      <c r="D8" s="81"/>
      <c r="E8" s="81"/>
      <c r="F8" s="81"/>
      <c r="G8" s="81"/>
      <c r="H8" s="81"/>
      <c r="I8" s="81"/>
      <c r="J8" s="81"/>
      <c r="K8" s="81"/>
      <c r="L8" s="81"/>
      <c r="M8" s="81"/>
      <c r="N8" s="81"/>
    </row>
    <row r="9" spans="1:14" s="2" customFormat="1">
      <c r="A9" s="35"/>
      <c r="B9" s="369" t="s">
        <v>376</v>
      </c>
      <c r="C9" s="369"/>
      <c r="D9" s="369"/>
      <c r="E9" s="369"/>
      <c r="F9" s="369"/>
      <c r="G9" s="369"/>
      <c r="H9" s="369"/>
      <c r="I9" s="369"/>
      <c r="J9" s="369"/>
      <c r="K9" s="369"/>
      <c r="L9" s="369"/>
      <c r="M9" s="369"/>
      <c r="N9" s="369"/>
    </row>
    <row r="10" spans="1:14" s="2" customFormat="1">
      <c r="A10" s="35"/>
      <c r="B10" s="12"/>
      <c r="C10" s="137"/>
    </row>
    <row r="11" spans="1:14" s="2" customFormat="1">
      <c r="A11" s="225" t="s">
        <v>151</v>
      </c>
      <c r="B11" s="35" t="str">
        <f>Data!B153</f>
        <v>Broad measure of customer service</v>
      </c>
      <c r="C11" s="156" t="str">
        <f>'RFPR cover'!$C$14</f>
        <v>£m 12/13</v>
      </c>
      <c r="D11" s="596">
        <v>-0.20688629620978727</v>
      </c>
      <c r="E11" s="597">
        <v>0.66540313058428147</v>
      </c>
      <c r="F11" s="597">
        <v>1.8376552222909925</v>
      </c>
      <c r="G11" s="597">
        <v>2.4197985688470434</v>
      </c>
      <c r="H11" s="597">
        <v>3.0345226973885673</v>
      </c>
      <c r="I11" s="597">
        <v>3.1894232124087436</v>
      </c>
      <c r="J11" s="597">
        <v>3.0502697420249687</v>
      </c>
      <c r="K11" s="597">
        <v>3.6121772633747478</v>
      </c>
      <c r="L11" s="673">
        <f>SUM(D11:INDEX(D11:K11,0,MATCH('RFPR cover'!$C$7,$D$6:$K$6,0)))</f>
        <v>17.602363540709558</v>
      </c>
      <c r="M11" s="674">
        <f t="shared" ref="M11:M17" si="1">SUM(D11:K11)</f>
        <v>17.602363540709558</v>
      </c>
    </row>
    <row r="12" spans="1:14" s="2" customFormat="1">
      <c r="A12" s="225" t="s">
        <v>152</v>
      </c>
      <c r="B12" s="35" t="str">
        <f>Data!B154</f>
        <v>Interruptions-related quality of service</v>
      </c>
      <c r="C12" s="156" t="str">
        <f>'RFPR cover'!$C$14</f>
        <v>£m 12/13</v>
      </c>
      <c r="D12" s="598">
        <v>12.765856491209185</v>
      </c>
      <c r="E12" s="599">
        <v>11.807586443171406</v>
      </c>
      <c r="F12" s="599">
        <v>9.6726939856675198</v>
      </c>
      <c r="G12" s="599">
        <v>9.8685333648664155</v>
      </c>
      <c r="H12" s="599">
        <v>13.528281999999999</v>
      </c>
      <c r="I12" s="599">
        <v>12.183481092266835</v>
      </c>
      <c r="J12" s="599">
        <v>13.093509536789343</v>
      </c>
      <c r="K12" s="599">
        <v>12.17301236064135</v>
      </c>
      <c r="L12" s="677">
        <f>SUM(D12:INDEX(D12:K12,0,MATCH('RFPR cover'!$C$7,$D$6:$K$6,0)))</f>
        <v>95.092955274612052</v>
      </c>
      <c r="M12" s="678">
        <f t="shared" si="1"/>
        <v>95.092955274612052</v>
      </c>
    </row>
    <row r="13" spans="1:14" s="2" customFormat="1">
      <c r="A13" s="225" t="s">
        <v>153</v>
      </c>
      <c r="B13" s="35" t="str">
        <f>Data!B155</f>
        <v>Incentive on connections engagement</v>
      </c>
      <c r="C13" s="156" t="str">
        <f>'RFPR cover'!$C$14</f>
        <v>£m 12/13</v>
      </c>
      <c r="D13" s="598">
        <v>0</v>
      </c>
      <c r="E13" s="599">
        <v>0</v>
      </c>
      <c r="F13" s="599">
        <v>0</v>
      </c>
      <c r="G13" s="599">
        <v>0</v>
      </c>
      <c r="H13" s="599">
        <v>0</v>
      </c>
      <c r="I13" s="599">
        <v>0</v>
      </c>
      <c r="J13" s="599">
        <v>0</v>
      </c>
      <c r="K13" s="599">
        <v>0</v>
      </c>
      <c r="L13" s="677">
        <f>SUM(D13:INDEX(D13:K13,0,MATCH('RFPR cover'!$C$7,$D$6:$K$6,0)))</f>
        <v>0</v>
      </c>
      <c r="M13" s="678">
        <f t="shared" si="1"/>
        <v>0</v>
      </c>
    </row>
    <row r="14" spans="1:14" s="2" customFormat="1">
      <c r="A14" s="225" t="s">
        <v>167</v>
      </c>
      <c r="B14" s="35" t="str">
        <f>Data!B156</f>
        <v>Time to Connect Incentive</v>
      </c>
      <c r="C14" s="156" t="str">
        <f>'RFPR cover'!$C$14</f>
        <v>£m 12/13</v>
      </c>
      <c r="D14" s="598">
        <v>1.2</v>
      </c>
      <c r="E14" s="599">
        <v>1.2</v>
      </c>
      <c r="F14" s="599">
        <v>1.2</v>
      </c>
      <c r="G14" s="599">
        <v>1.1762999999999999</v>
      </c>
      <c r="H14" s="599">
        <v>1.19327113125</v>
      </c>
      <c r="I14" s="599">
        <v>1.1916315</v>
      </c>
      <c r="J14" s="599">
        <v>1.192168971081901</v>
      </c>
      <c r="K14" s="599">
        <v>1.2</v>
      </c>
      <c r="L14" s="677">
        <f>SUM(D14:INDEX(D14:K14,0,MATCH('RFPR cover'!$C$7,$D$6:$K$6,0)))</f>
        <v>9.5533716023319002</v>
      </c>
      <c r="M14" s="678">
        <f t="shared" si="1"/>
        <v>9.5533716023319002</v>
      </c>
    </row>
    <row r="15" spans="1:14" s="2" customFormat="1">
      <c r="A15" s="225" t="s">
        <v>168</v>
      </c>
      <c r="B15" s="35" t="str">
        <f>Data!B157</f>
        <v>Losses discretionary reward scheme</v>
      </c>
      <c r="C15" s="156" t="str">
        <f>'RFPR cover'!$C$14</f>
        <v>£m 12/13</v>
      </c>
      <c r="D15" s="598">
        <v>0</v>
      </c>
      <c r="E15" s="599">
        <v>0.69499999999999995</v>
      </c>
      <c r="F15" s="599">
        <v>0</v>
      </c>
      <c r="G15" s="599">
        <v>0</v>
      </c>
      <c r="H15" s="599">
        <v>0</v>
      </c>
      <c r="I15" s="599">
        <v>0</v>
      </c>
      <c r="J15" s="599">
        <v>0</v>
      </c>
      <c r="K15" s="599">
        <v>0</v>
      </c>
      <c r="L15" s="677">
        <f>SUM(D15:INDEX(D15:K15,0,MATCH('RFPR cover'!$C$7,$D$6:$K$6,0)))</f>
        <v>0.69499999999999995</v>
      </c>
      <c r="M15" s="678">
        <f t="shared" si="1"/>
        <v>0.69499999999999995</v>
      </c>
    </row>
    <row r="16" spans="1:14" s="2" customFormat="1">
      <c r="A16" s="225" t="s">
        <v>169</v>
      </c>
      <c r="B16" s="35" t="str">
        <f>Data!B158</f>
        <v/>
      </c>
      <c r="C16" s="156" t="str">
        <f>'RFPR cover'!$C$14</f>
        <v>£m 12/13</v>
      </c>
      <c r="D16" s="598">
        <v>0</v>
      </c>
      <c r="E16" s="599">
        <v>0</v>
      </c>
      <c r="F16" s="599">
        <v>0</v>
      </c>
      <c r="G16" s="599">
        <v>0</v>
      </c>
      <c r="H16" s="599">
        <v>0</v>
      </c>
      <c r="I16" s="599">
        <v>0</v>
      </c>
      <c r="J16" s="599">
        <v>0</v>
      </c>
      <c r="K16" s="599">
        <v>0</v>
      </c>
      <c r="L16" s="677">
        <f>SUM(D16:INDEX(D16:K16,0,MATCH('RFPR cover'!$C$7,$D$6:$K$6,0)))</f>
        <v>0</v>
      </c>
      <c r="M16" s="678">
        <f t="shared" si="1"/>
        <v>0</v>
      </c>
    </row>
    <row r="17" spans="1:16" s="2" customFormat="1">
      <c r="A17" s="225" t="s">
        <v>464</v>
      </c>
      <c r="B17" s="35" t="str">
        <f>Data!B159</f>
        <v/>
      </c>
      <c r="C17" s="156" t="str">
        <f>'RFPR cover'!$C$14</f>
        <v>£m 12/13</v>
      </c>
      <c r="D17" s="851">
        <v>0</v>
      </c>
      <c r="E17" s="852">
        <v>0</v>
      </c>
      <c r="F17" s="852">
        <v>0</v>
      </c>
      <c r="G17" s="852">
        <v>0</v>
      </c>
      <c r="H17" s="852">
        <v>0</v>
      </c>
      <c r="I17" s="852">
        <v>0</v>
      </c>
      <c r="J17" s="852">
        <v>0</v>
      </c>
      <c r="K17" s="853">
        <v>0</v>
      </c>
      <c r="L17" s="677">
        <f>SUM(D17:INDEX(D17:K17,0,MATCH('RFPR cover'!$C$7,$D$6:$K$6,0)))</f>
        <v>0</v>
      </c>
      <c r="M17" s="678">
        <f t="shared" si="1"/>
        <v>0</v>
      </c>
    </row>
    <row r="18" spans="1:16" s="2" customFormat="1">
      <c r="A18" s="35"/>
      <c r="B18" s="12" t="s">
        <v>202</v>
      </c>
      <c r="C18" s="157" t="str">
        <f>'RFPR cover'!$C$14</f>
        <v>£m 12/13</v>
      </c>
      <c r="D18" s="612">
        <f>SUM(D11:D17)</f>
        <v>13.758970194999396</v>
      </c>
      <c r="E18" s="612">
        <f t="shared" ref="E18:K18" si="2">SUM(E11:E17)</f>
        <v>14.367989573755686</v>
      </c>
      <c r="F18" s="612">
        <f t="shared" si="2"/>
        <v>12.710349207958512</v>
      </c>
      <c r="G18" s="612">
        <f t="shared" si="2"/>
        <v>13.464631933713457</v>
      </c>
      <c r="H18" s="612">
        <f t="shared" si="2"/>
        <v>17.756075828638565</v>
      </c>
      <c r="I18" s="612">
        <f t="shared" si="2"/>
        <v>16.564535804675579</v>
      </c>
      <c r="J18" s="612">
        <f t="shared" si="2"/>
        <v>17.335948249896212</v>
      </c>
      <c r="K18" s="612">
        <f t="shared" si="2"/>
        <v>16.985189624016098</v>
      </c>
      <c r="L18" s="612">
        <f>SUM(L11:L17)</f>
        <v>122.9436904176535</v>
      </c>
      <c r="M18" s="612">
        <f>SUM(M11:M17)</f>
        <v>122.9436904176535</v>
      </c>
    </row>
    <row r="19" spans="1:16" s="2" customFormat="1">
      <c r="A19" s="35"/>
      <c r="B19" s="12"/>
      <c r="C19" s="157"/>
      <c r="D19" s="157"/>
      <c r="E19" s="157"/>
      <c r="F19" s="157"/>
      <c r="G19" s="157"/>
      <c r="H19" s="157"/>
      <c r="I19" s="157"/>
      <c r="J19" s="157"/>
      <c r="K19" s="157"/>
      <c r="L19" s="157"/>
      <c r="M19" s="157"/>
    </row>
    <row r="20" spans="1:16" s="2" customFormat="1">
      <c r="A20" s="35"/>
      <c r="B20" s="12" t="s">
        <v>358</v>
      </c>
      <c r="C20" s="157"/>
      <c r="D20" s="157"/>
      <c r="E20" s="157"/>
      <c r="F20" s="157"/>
      <c r="G20" s="157"/>
      <c r="H20" s="157"/>
      <c r="I20" s="157"/>
      <c r="J20" s="157"/>
      <c r="K20" s="157"/>
      <c r="L20" s="157"/>
      <c r="M20" s="157"/>
    </row>
    <row r="21" spans="1:16" s="2" customFormat="1">
      <c r="A21" s="270" t="str">
        <f>A11</f>
        <v>a</v>
      </c>
      <c r="B21" s="993" t="s">
        <v>618</v>
      </c>
      <c r="C21" s="993"/>
      <c r="D21" s="993"/>
      <c r="E21" s="993"/>
      <c r="F21" s="993"/>
      <c r="G21" s="993"/>
      <c r="H21" s="993"/>
      <c r="I21" s="993"/>
      <c r="J21" s="993"/>
      <c r="K21" s="993"/>
      <c r="L21" s="993"/>
      <c r="M21" s="993"/>
    </row>
    <row r="22" spans="1:16" s="2" customFormat="1">
      <c r="A22" s="270" t="str">
        <f>A12</f>
        <v>b</v>
      </c>
      <c r="B22" s="993" t="s">
        <v>618</v>
      </c>
      <c r="C22" s="993"/>
      <c r="D22" s="993"/>
      <c r="E22" s="993"/>
      <c r="F22" s="993"/>
      <c r="G22" s="993"/>
      <c r="H22" s="993"/>
      <c r="I22" s="993"/>
      <c r="J22" s="993"/>
      <c r="K22" s="993"/>
      <c r="L22" s="993"/>
      <c r="M22" s="993"/>
    </row>
    <row r="23" spans="1:16" s="2" customFormat="1">
      <c r="A23" s="270" t="str">
        <f>A13</f>
        <v>c</v>
      </c>
      <c r="B23" s="993" t="s">
        <v>618</v>
      </c>
      <c r="C23" s="993"/>
      <c r="D23" s="993"/>
      <c r="E23" s="993"/>
      <c r="F23" s="993"/>
      <c r="G23" s="993"/>
      <c r="H23" s="993"/>
      <c r="I23" s="993"/>
      <c r="J23" s="993"/>
      <c r="K23" s="993"/>
      <c r="L23" s="993"/>
      <c r="M23" s="993"/>
    </row>
    <row r="24" spans="1:16" s="2" customFormat="1">
      <c r="A24" s="270" t="str">
        <f>A14</f>
        <v>d</v>
      </c>
      <c r="B24" s="993" t="s">
        <v>618</v>
      </c>
      <c r="C24" s="993"/>
      <c r="D24" s="993"/>
      <c r="E24" s="993"/>
      <c r="F24" s="993"/>
      <c r="G24" s="993"/>
      <c r="H24" s="993"/>
      <c r="I24" s="993"/>
      <c r="J24" s="993"/>
      <c r="K24" s="993"/>
      <c r="L24" s="993"/>
      <c r="M24" s="993"/>
    </row>
    <row r="25" spans="1:16" s="2" customFormat="1">
      <c r="A25" s="270" t="str">
        <f>A15</f>
        <v>e</v>
      </c>
      <c r="B25" s="993" t="s">
        <v>618</v>
      </c>
      <c r="C25" s="993"/>
      <c r="D25" s="993"/>
      <c r="E25" s="993"/>
      <c r="F25" s="993"/>
      <c r="G25" s="993"/>
      <c r="H25" s="993"/>
      <c r="I25" s="993"/>
      <c r="J25" s="993"/>
      <c r="K25" s="993"/>
      <c r="L25" s="993"/>
      <c r="M25" s="993"/>
    </row>
    <row r="26" spans="1:16" s="2" customFormat="1">
      <c r="A26" s="270" t="s">
        <v>169</v>
      </c>
      <c r="B26" s="847"/>
      <c r="C26" s="847"/>
      <c r="D26" s="847"/>
      <c r="E26" s="847"/>
      <c r="F26" s="847"/>
      <c r="G26" s="847"/>
      <c r="H26" s="847"/>
      <c r="I26" s="847"/>
      <c r="J26" s="847"/>
      <c r="K26" s="847"/>
      <c r="L26" s="847"/>
      <c r="M26" s="847"/>
    </row>
    <row r="27" spans="1:16" s="2" customFormat="1">
      <c r="A27" s="270" t="s">
        <v>464</v>
      </c>
      <c r="B27" s="847"/>
      <c r="C27" s="847"/>
      <c r="D27" s="847"/>
      <c r="E27" s="847"/>
      <c r="F27" s="847"/>
      <c r="G27" s="847"/>
      <c r="H27" s="847"/>
      <c r="I27" s="847"/>
      <c r="J27" s="847"/>
      <c r="K27" s="847"/>
      <c r="L27" s="847"/>
      <c r="M27" s="847"/>
    </row>
    <row r="28" spans="1:16" s="535" customFormat="1">
      <c r="A28" s="38"/>
      <c r="B28" s="539"/>
      <c r="C28" s="539"/>
      <c r="D28" s="539"/>
      <c r="E28" s="539"/>
      <c r="F28" s="539"/>
      <c r="G28" s="539"/>
      <c r="H28" s="539"/>
      <c r="I28" s="539"/>
      <c r="J28" s="539"/>
      <c r="K28" s="539"/>
      <c r="L28" s="539"/>
      <c r="M28" s="539"/>
    </row>
    <row r="29" spans="1:16" s="2" customFormat="1">
      <c r="B29" s="12"/>
      <c r="C29" s="137"/>
      <c r="D29" s="52"/>
      <c r="E29" s="52"/>
      <c r="F29" s="52"/>
      <c r="G29" s="52"/>
      <c r="H29" s="52"/>
      <c r="I29" s="52"/>
      <c r="J29" s="52"/>
      <c r="K29" s="52"/>
    </row>
    <row r="30" spans="1:16" s="2" customFormat="1">
      <c r="A30" s="35"/>
      <c r="B30" s="117" t="s">
        <v>199</v>
      </c>
      <c r="C30" s="151"/>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9" t="s">
        <v>210</v>
      </c>
      <c r="C32" s="292"/>
      <c r="D32" s="294"/>
      <c r="E32" s="294"/>
      <c r="F32" s="294"/>
      <c r="G32" s="294"/>
      <c r="H32" s="294"/>
      <c r="I32" s="294"/>
      <c r="J32" s="294"/>
      <c r="K32" s="294"/>
      <c r="L32" s="294"/>
      <c r="M32" s="294"/>
      <c r="N32" s="294"/>
    </row>
    <row r="33" spans="1:14" s="2" customFormat="1">
      <c r="A33" s="35"/>
      <c r="B33" s="370" t="s">
        <v>240</v>
      </c>
      <c r="C33" s="292"/>
      <c r="D33" s="294"/>
      <c r="E33" s="294"/>
      <c r="F33" s="294"/>
      <c r="G33" s="294"/>
      <c r="H33" s="294"/>
      <c r="I33" s="294"/>
      <c r="J33" s="294"/>
      <c r="K33" s="294"/>
      <c r="L33" s="294"/>
      <c r="M33" s="294"/>
      <c r="N33" s="294"/>
    </row>
    <row r="34" spans="1:14" s="2" customFormat="1">
      <c r="A34" s="35"/>
      <c r="B34" s="370" t="s">
        <v>465</v>
      </c>
      <c r="C34" s="292"/>
      <c r="D34" s="294"/>
      <c r="E34" s="294"/>
      <c r="F34" s="294"/>
      <c r="G34" s="294"/>
      <c r="H34" s="294"/>
      <c r="I34" s="294"/>
      <c r="J34" s="294"/>
      <c r="K34" s="294"/>
      <c r="L34" s="294"/>
      <c r="M34" s="294"/>
      <c r="N34" s="294"/>
    </row>
    <row r="35" spans="1:14" s="2" customFormat="1">
      <c r="A35" s="35"/>
      <c r="B35" s="370" t="s">
        <v>208</v>
      </c>
      <c r="C35" s="292"/>
      <c r="D35" s="294"/>
      <c r="E35" s="294"/>
      <c r="F35" s="294"/>
      <c r="G35" s="294"/>
      <c r="H35" s="294"/>
      <c r="I35" s="294"/>
      <c r="J35" s="294"/>
      <c r="K35" s="294"/>
      <c r="L35" s="294"/>
      <c r="M35" s="294"/>
      <c r="N35" s="294"/>
    </row>
    <row r="36" spans="1:14" s="2" customFormat="1">
      <c r="A36" s="35"/>
      <c r="B36" s="370" t="s">
        <v>201</v>
      </c>
      <c r="C36" s="292"/>
      <c r="D36" s="294"/>
      <c r="E36" s="294"/>
      <c r="F36" s="294"/>
      <c r="G36" s="294"/>
      <c r="H36" s="294"/>
      <c r="I36" s="294"/>
      <c r="J36" s="294"/>
      <c r="K36" s="294"/>
      <c r="L36" s="294"/>
      <c r="M36" s="294"/>
      <c r="N36" s="294"/>
    </row>
    <row r="37" spans="1:14" s="2" customFormat="1">
      <c r="A37" s="35"/>
      <c r="B37" s="370" t="s">
        <v>207</v>
      </c>
      <c r="C37" s="292"/>
      <c r="D37" s="294"/>
      <c r="E37" s="294"/>
      <c r="F37" s="294"/>
      <c r="G37" s="294"/>
      <c r="H37" s="294"/>
      <c r="I37" s="294"/>
      <c r="J37" s="294"/>
      <c r="K37" s="294"/>
      <c r="L37" s="294"/>
      <c r="M37" s="294"/>
      <c r="N37" s="294"/>
    </row>
    <row r="38" spans="1:14" s="2" customFormat="1">
      <c r="B38" s="12"/>
      <c r="C38" s="137"/>
    </row>
    <row r="39" spans="1:14" s="2" customFormat="1">
      <c r="A39" s="161" t="str">
        <f t="shared" ref="A39:A45" si="3">A11</f>
        <v>a</v>
      </c>
      <c r="B39" s="35" t="str">
        <f>$B$11&amp;""</f>
        <v>Broad measure of customer service</v>
      </c>
      <c r="C39" s="156" t="str">
        <f>'RFPR cover'!$C$14</f>
        <v>£m 12/13</v>
      </c>
      <c r="D39" s="673">
        <f>D51</f>
        <v>-0.16757789992992769</v>
      </c>
      <c r="E39" s="673">
        <f t="shared" ref="E39:K39" si="4">E51</f>
        <v>0.53897653577326798</v>
      </c>
      <c r="F39" s="673">
        <f t="shared" si="4"/>
        <v>1.488500730055704</v>
      </c>
      <c r="G39" s="673">
        <f t="shared" si="4"/>
        <v>1.9600368407661053</v>
      </c>
      <c r="H39" s="673">
        <f t="shared" si="4"/>
        <v>2.4579633848847395</v>
      </c>
      <c r="I39" s="673">
        <f t="shared" si="4"/>
        <v>2.5834328020510826</v>
      </c>
      <c r="J39" s="673">
        <f t="shared" si="4"/>
        <v>2.4707184910402247</v>
      </c>
      <c r="K39" s="673">
        <f t="shared" si="4"/>
        <v>2.925863583333546</v>
      </c>
      <c r="L39" s="673">
        <f>SUM(D39:INDEX(D39:K39,0,MATCH('RFPR cover'!$C$7,$D$6:$K$6,0)))</f>
        <v>14.257914467974743</v>
      </c>
      <c r="M39" s="674">
        <f t="shared" ref="M39:M45" si="5">SUM(D39:K39)</f>
        <v>14.257914467974743</v>
      </c>
    </row>
    <row r="40" spans="1:14" s="2" customFormat="1">
      <c r="A40" s="161" t="str">
        <f t="shared" si="3"/>
        <v>b</v>
      </c>
      <c r="B40" s="35" t="str">
        <f>$B$12&amp;""</f>
        <v>Interruptions-related quality of service</v>
      </c>
      <c r="C40" s="156" t="str">
        <f>'RFPR cover'!$C$14</f>
        <v>£m 12/13</v>
      </c>
      <c r="D40" s="673">
        <f>D55</f>
        <v>10.34034375787944</v>
      </c>
      <c r="E40" s="673">
        <f t="shared" ref="E40:K40" si="6">E55</f>
        <v>9.5641450189688388</v>
      </c>
      <c r="F40" s="673">
        <f t="shared" si="6"/>
        <v>7.8348821283906913</v>
      </c>
      <c r="G40" s="673">
        <f t="shared" si="6"/>
        <v>7.9935120255417971</v>
      </c>
      <c r="H40" s="673">
        <f t="shared" si="6"/>
        <v>10.957908420000001</v>
      </c>
      <c r="I40" s="673">
        <f t="shared" si="6"/>
        <v>9.8686196847361369</v>
      </c>
      <c r="J40" s="673">
        <f t="shared" si="6"/>
        <v>10.605742724799368</v>
      </c>
      <c r="K40" s="673">
        <f t="shared" si="6"/>
        <v>9.8601400121194942</v>
      </c>
      <c r="L40" s="677">
        <f>SUM(D40:INDEX(D40:K40,0,MATCH('RFPR cover'!$C$7,$D$6:$K$6,0)))</f>
        <v>77.025293772435759</v>
      </c>
      <c r="M40" s="678">
        <f t="shared" si="5"/>
        <v>77.025293772435759</v>
      </c>
    </row>
    <row r="41" spans="1:14" s="2" customFormat="1">
      <c r="A41" s="161" t="str">
        <f t="shared" si="3"/>
        <v>c</v>
      </c>
      <c r="B41" s="35" t="str">
        <f>$B$13&amp;""</f>
        <v>Incentive on connections engagement</v>
      </c>
      <c r="C41" s="156" t="str">
        <f>'RFPR cover'!$C$14</f>
        <v>£m 12/13</v>
      </c>
      <c r="D41" s="673">
        <f>D59</f>
        <v>0</v>
      </c>
      <c r="E41" s="673">
        <f t="shared" ref="E41:K41" si="7">E59</f>
        <v>0</v>
      </c>
      <c r="F41" s="673">
        <f t="shared" si="7"/>
        <v>0</v>
      </c>
      <c r="G41" s="673">
        <f t="shared" si="7"/>
        <v>0</v>
      </c>
      <c r="H41" s="673">
        <f t="shared" si="7"/>
        <v>0</v>
      </c>
      <c r="I41" s="673">
        <f t="shared" si="7"/>
        <v>0</v>
      </c>
      <c r="J41" s="673">
        <f t="shared" si="7"/>
        <v>0</v>
      </c>
      <c r="K41" s="673">
        <f t="shared" si="7"/>
        <v>0</v>
      </c>
      <c r="L41" s="677">
        <f>SUM(D41:INDEX(D41:K41,0,MATCH('RFPR cover'!$C$7,$D$6:$K$6,0)))</f>
        <v>0</v>
      </c>
      <c r="M41" s="678">
        <f t="shared" si="5"/>
        <v>0</v>
      </c>
    </row>
    <row r="42" spans="1:14" s="2" customFormat="1">
      <c r="A42" s="161" t="str">
        <f t="shared" si="3"/>
        <v>d</v>
      </c>
      <c r="B42" s="35" t="str">
        <f>$B$14&amp;""</f>
        <v>Time to Connect Incentive</v>
      </c>
      <c r="C42" s="156" t="str">
        <f>'RFPR cover'!$C$14</f>
        <v>£m 12/13</v>
      </c>
      <c r="D42" s="673">
        <f>D63</f>
        <v>0.97199999999999998</v>
      </c>
      <c r="E42" s="673">
        <f t="shared" ref="E42:K42" si="8">E63</f>
        <v>0.97199999999999998</v>
      </c>
      <c r="F42" s="673">
        <f t="shared" si="8"/>
        <v>0.97199999999999998</v>
      </c>
      <c r="G42" s="673">
        <f t="shared" si="8"/>
        <v>0.95280299999999996</v>
      </c>
      <c r="H42" s="673">
        <f t="shared" si="8"/>
        <v>0.96654961631250003</v>
      </c>
      <c r="I42" s="673">
        <f t="shared" si="8"/>
        <v>0.96522151499999997</v>
      </c>
      <c r="J42" s="673">
        <f t="shared" si="8"/>
        <v>0.96565686657633987</v>
      </c>
      <c r="K42" s="673">
        <f t="shared" si="8"/>
        <v>0.97199999999999998</v>
      </c>
      <c r="L42" s="677">
        <f>SUM(D42:INDEX(D42:K42,0,MATCH('RFPR cover'!$C$7,$D$6:$K$6,0)))</f>
        <v>7.7382309978888397</v>
      </c>
      <c r="M42" s="678">
        <f t="shared" si="5"/>
        <v>7.7382309978888397</v>
      </c>
    </row>
    <row r="43" spans="1:14" s="2" customFormat="1">
      <c r="A43" s="161" t="str">
        <f t="shared" si="3"/>
        <v>e</v>
      </c>
      <c r="B43" s="35" t="str">
        <f>$B$15&amp;""</f>
        <v>Losses discretionary reward scheme</v>
      </c>
      <c r="C43" s="156" t="str">
        <f>'RFPR cover'!$C$14</f>
        <v>£m 12/13</v>
      </c>
      <c r="D43" s="673">
        <f>D67</f>
        <v>0</v>
      </c>
      <c r="E43" s="673">
        <f t="shared" ref="E43:K43" si="9">E67</f>
        <v>0.56294999999999995</v>
      </c>
      <c r="F43" s="673">
        <f t="shared" si="9"/>
        <v>0</v>
      </c>
      <c r="G43" s="673">
        <f t="shared" si="9"/>
        <v>0</v>
      </c>
      <c r="H43" s="673">
        <f t="shared" si="9"/>
        <v>0</v>
      </c>
      <c r="I43" s="673">
        <f t="shared" si="9"/>
        <v>0</v>
      </c>
      <c r="J43" s="673">
        <f t="shared" si="9"/>
        <v>0</v>
      </c>
      <c r="K43" s="673">
        <f t="shared" si="9"/>
        <v>0</v>
      </c>
      <c r="L43" s="677">
        <f>SUM(D43:INDEX(D43:K43,0,MATCH('RFPR cover'!$C$7,$D$6:$K$6,0)))</f>
        <v>0.56294999999999995</v>
      </c>
      <c r="M43" s="678">
        <f t="shared" si="5"/>
        <v>0.56294999999999995</v>
      </c>
    </row>
    <row r="44" spans="1:14" s="2" customFormat="1">
      <c r="A44" s="161" t="str">
        <f t="shared" si="3"/>
        <v>f</v>
      </c>
      <c r="B44" s="35" t="str">
        <f>$B$16&amp;""</f>
        <v/>
      </c>
      <c r="C44" s="156" t="str">
        <f>'RFPR cover'!$C$14</f>
        <v>£m 12/13</v>
      </c>
      <c r="D44" s="673">
        <f>D71</f>
        <v>0</v>
      </c>
      <c r="E44" s="673">
        <f t="shared" ref="E44:K44" si="10">E71</f>
        <v>0</v>
      </c>
      <c r="F44" s="673">
        <f t="shared" si="10"/>
        <v>0</v>
      </c>
      <c r="G44" s="673">
        <f t="shared" si="10"/>
        <v>0</v>
      </c>
      <c r="H44" s="673">
        <f t="shared" si="10"/>
        <v>0</v>
      </c>
      <c r="I44" s="673">
        <f t="shared" si="10"/>
        <v>0</v>
      </c>
      <c r="J44" s="673">
        <f t="shared" si="10"/>
        <v>0</v>
      </c>
      <c r="K44" s="673">
        <f t="shared" si="10"/>
        <v>0</v>
      </c>
      <c r="L44" s="677">
        <f>SUM(D44:INDEX(D44:K44,0,MATCH('RFPR cover'!$C$7,$D$6:$K$6,0)))</f>
        <v>0</v>
      </c>
      <c r="M44" s="678">
        <f t="shared" si="5"/>
        <v>0</v>
      </c>
    </row>
    <row r="45" spans="1:14" s="2" customFormat="1">
      <c r="A45" s="161" t="str">
        <f t="shared" si="3"/>
        <v>g</v>
      </c>
      <c r="B45" s="35" t="str">
        <f>$B$17&amp;""</f>
        <v/>
      </c>
      <c r="C45" s="156" t="str">
        <f>'RFPR cover'!$C$14</f>
        <v>£m 12/13</v>
      </c>
      <c r="D45" s="673">
        <f>D75</f>
        <v>0</v>
      </c>
      <c r="E45" s="673">
        <f t="shared" ref="E45:K45" si="11">E75</f>
        <v>0</v>
      </c>
      <c r="F45" s="673">
        <f t="shared" si="11"/>
        <v>0</v>
      </c>
      <c r="G45" s="673">
        <f t="shared" si="11"/>
        <v>0</v>
      </c>
      <c r="H45" s="673">
        <f t="shared" si="11"/>
        <v>0</v>
      </c>
      <c r="I45" s="673">
        <f t="shared" si="11"/>
        <v>0</v>
      </c>
      <c r="J45" s="673">
        <f t="shared" si="11"/>
        <v>0</v>
      </c>
      <c r="K45" s="673">
        <f t="shared" si="11"/>
        <v>0</v>
      </c>
      <c r="L45" s="677">
        <f>SUM(D45:INDEX(D45:K45,0,MATCH('RFPR cover'!$C$7,$D$6:$K$6,0)))</f>
        <v>0</v>
      </c>
      <c r="M45" s="678">
        <f t="shared" si="5"/>
        <v>0</v>
      </c>
    </row>
    <row r="46" spans="1:14" s="2" customFormat="1">
      <c r="B46" s="12" t="s">
        <v>203</v>
      </c>
      <c r="C46" s="157" t="str">
        <f>'RFPR cover'!$C$14</f>
        <v>£m 12/13</v>
      </c>
      <c r="D46" s="612">
        <f>SUM(D39:D45)</f>
        <v>11.144765857949512</v>
      </c>
      <c r="E46" s="612">
        <f t="shared" ref="E46:M46" si="12">SUM(E39:E45)</f>
        <v>11.638071554742107</v>
      </c>
      <c r="F46" s="612">
        <f t="shared" si="12"/>
        <v>10.295382858446395</v>
      </c>
      <c r="G46" s="612">
        <f t="shared" si="12"/>
        <v>10.906351866307901</v>
      </c>
      <c r="H46" s="613">
        <f t="shared" si="12"/>
        <v>14.382421421197241</v>
      </c>
      <c r="I46" s="613">
        <f t="shared" si="12"/>
        <v>13.41727400178722</v>
      </c>
      <c r="J46" s="613">
        <f t="shared" si="12"/>
        <v>14.042118082415934</v>
      </c>
      <c r="K46" s="613">
        <f t="shared" si="12"/>
        <v>13.75800359545304</v>
      </c>
      <c r="L46" s="612">
        <f t="shared" si="12"/>
        <v>99.584389238299337</v>
      </c>
      <c r="M46" s="612">
        <f t="shared" si="12"/>
        <v>99.584389238299337</v>
      </c>
    </row>
    <row r="47" spans="1:14" s="2" customFormat="1">
      <c r="B47" s="12"/>
      <c r="C47" s="157"/>
      <c r="D47" s="157"/>
      <c r="E47" s="157"/>
      <c r="F47" s="157"/>
      <c r="G47" s="157"/>
      <c r="H47" s="157"/>
      <c r="I47" s="157"/>
      <c r="J47" s="157"/>
      <c r="K47" s="157"/>
      <c r="L47" s="157"/>
      <c r="M47" s="157"/>
    </row>
    <row r="48" spans="1:14" s="2" customFormat="1">
      <c r="B48" s="12"/>
      <c r="C48" s="157"/>
      <c r="D48" s="162"/>
      <c r="E48" s="157"/>
      <c r="F48" s="157"/>
      <c r="G48" s="157"/>
      <c r="H48" s="157"/>
      <c r="I48" s="157"/>
      <c r="J48" s="157"/>
      <c r="K48" s="157"/>
      <c r="L48" s="157"/>
      <c r="M48" s="157"/>
    </row>
    <row r="49" spans="1:13" s="2" customFormat="1">
      <c r="A49" s="161" t="str">
        <f>$A$11</f>
        <v>a</v>
      </c>
      <c r="B49" s="172" t="str">
        <f>INDEX($B$11:$B$15,MATCH($A49,$A$11:$A$15,0),0)&amp;""</f>
        <v>Broad measure of customer service</v>
      </c>
      <c r="C49" s="156" t="str">
        <f>'RFPR cover'!$C$14</f>
        <v>£m 12/13</v>
      </c>
      <c r="D49" s="784">
        <f>INDEX($D$11:$K$17,MATCH($A49,$A$11:$A$17,0),0)</f>
        <v>-0.20688629620978727</v>
      </c>
      <c r="E49" s="784">
        <f t="shared" ref="E49:K49" si="13">INDEX($D$11:$K$17,MATCH($A49,$A$11:$A$17,0),0)</f>
        <v>0.66540313058428147</v>
      </c>
      <c r="F49" s="784">
        <f t="shared" si="13"/>
        <v>1.8376552222909925</v>
      </c>
      <c r="G49" s="784">
        <f t="shared" si="13"/>
        <v>2.4197985688470434</v>
      </c>
      <c r="H49" s="784">
        <f t="shared" si="13"/>
        <v>3.0345226973885673</v>
      </c>
      <c r="I49" s="784">
        <f t="shared" si="13"/>
        <v>3.1894232124087436</v>
      </c>
      <c r="J49" s="784">
        <f t="shared" si="13"/>
        <v>3.0502697420249687</v>
      </c>
      <c r="K49" s="784">
        <f t="shared" si="13"/>
        <v>3.6121772633747478</v>
      </c>
      <c r="L49" s="784">
        <f>SUM(D49:INDEX(D49:K49,0,MATCH('RFPR cover'!$C$7,$D$6:$K$6,0)))</f>
        <v>17.602363540709558</v>
      </c>
      <c r="M49" s="785">
        <f>SUM(D49:K49)</f>
        <v>17.602363540709558</v>
      </c>
    </row>
    <row r="50" spans="1:13" s="2" customFormat="1">
      <c r="A50" s="161"/>
      <c r="B50" s="35" t="s">
        <v>200</v>
      </c>
      <c r="C50" s="295" t="s">
        <v>201</v>
      </c>
      <c r="D50" s="889">
        <f>IF($C50=$B$33,$B$33,INDEX(Data!$G$14:$G$30,MATCH('R5 - Output Incentives'!D$6+RIGHT('R5 - Output Incentives'!$C50,2),Data!$C$14:$C$30,0),0))</f>
        <v>0.19</v>
      </c>
      <c r="E50" s="890">
        <f>IF($C50=$B$33,$B$33,INDEX(Data!$G$14:$G$30,MATCH('R5 - Output Incentives'!E$6+RIGHT('R5 - Output Incentives'!$C50,2),Data!$C$14:$C$30,0),0))</f>
        <v>0.19</v>
      </c>
      <c r="F50" s="890">
        <f>IF($C50=$B$33,$B$33,INDEX(Data!$G$14:$G$30,MATCH('R5 - Output Incentives'!F$6+RIGHT('R5 - Output Incentives'!$C50,2),Data!$C$14:$C$30,0),0))</f>
        <v>0.19</v>
      </c>
      <c r="G50" s="890">
        <f>IF($C50=$B$33,$B$33,INDEX(Data!$G$14:$G$30,MATCH('R5 - Output Incentives'!G$6+RIGHT('R5 - Output Incentives'!$C50,2),Data!$C$14:$C$30,0),0))</f>
        <v>0.19</v>
      </c>
      <c r="H50" s="890">
        <f>IF($C50=$B$33,$B$33,INDEX(Data!$G$14:$G$30,MATCH('R5 - Output Incentives'!H$6+RIGHT('R5 - Output Incentives'!$C50,2),Data!$C$14:$C$30,0),0))</f>
        <v>0.19</v>
      </c>
      <c r="I50" s="890">
        <f>IF($C50=$B$33,$B$33,INDEX(Data!$G$14:$G$30,MATCH('R5 - Output Incentives'!I$6+RIGHT('R5 - Output Incentives'!$C50,2),Data!$C$14:$C$30,0),0))</f>
        <v>0.19</v>
      </c>
      <c r="J50" s="890">
        <f>IF($C50=$B$33,$B$33,INDEX(Data!$G$14:$G$30,MATCH('R5 - Output Incentives'!J$6+RIGHT('R5 - Output Incentives'!$C50,2),Data!$C$14:$C$30,0),0))</f>
        <v>0.19</v>
      </c>
      <c r="K50" s="891">
        <f>IF($C50=$B$33,$B$33,INDEX(Data!$G$14:$G$30,MATCH('R5 - Output Incentives'!K$6+RIGHT('R5 - Output Incentives'!$C50,2),Data!$C$14:$C$30,0),0))</f>
        <v>0.19</v>
      </c>
      <c r="L50" s="786"/>
      <c r="M50" s="787"/>
    </row>
    <row r="51" spans="1:13" s="2" customFormat="1">
      <c r="A51" s="161"/>
      <c r="B51" s="35" t="s">
        <v>209</v>
      </c>
      <c r="C51" s="156"/>
      <c r="D51" s="612">
        <f>IFERROR(D49*(1-D50),0)</f>
        <v>-0.16757789992992769</v>
      </c>
      <c r="E51" s="613">
        <f t="shared" ref="E51:K51" si="14">IFERROR(E49*(1-E50),0)</f>
        <v>0.53897653577326798</v>
      </c>
      <c r="F51" s="613">
        <f t="shared" si="14"/>
        <v>1.488500730055704</v>
      </c>
      <c r="G51" s="613">
        <f t="shared" si="14"/>
        <v>1.9600368407661053</v>
      </c>
      <c r="H51" s="613">
        <f t="shared" si="14"/>
        <v>2.4579633848847395</v>
      </c>
      <c r="I51" s="613">
        <f t="shared" si="14"/>
        <v>2.5834328020510826</v>
      </c>
      <c r="J51" s="613">
        <f t="shared" si="14"/>
        <v>2.4707184910402247</v>
      </c>
      <c r="K51" s="613">
        <f t="shared" si="14"/>
        <v>2.925863583333546</v>
      </c>
      <c r="L51" s="671">
        <f>SUM(D51:INDEX(D51:K51,0,MATCH('RFPR cover'!$C$7,$D$6:$K$6,0)))</f>
        <v>14.257914467974743</v>
      </c>
      <c r="M51" s="672">
        <f>SUM(D51:K51)</f>
        <v>14.257914467974743</v>
      </c>
    </row>
    <row r="52" spans="1:13" s="2" customFormat="1">
      <c r="A52" s="161"/>
      <c r="B52" s="51"/>
      <c r="C52" s="157"/>
      <c r="D52" s="157"/>
      <c r="E52" s="157"/>
      <c r="F52" s="157"/>
      <c r="G52" s="157"/>
      <c r="H52" s="157"/>
      <c r="I52" s="157"/>
      <c r="J52" s="157"/>
      <c r="K52" s="157"/>
      <c r="L52" s="157"/>
      <c r="M52" s="157"/>
    </row>
    <row r="53" spans="1:13" s="2" customFormat="1">
      <c r="A53" s="161" t="str">
        <f>$A$12</f>
        <v>b</v>
      </c>
      <c r="B53" s="172" t="str">
        <f>INDEX($B$11:$B$15,MATCH($A53,$A$11:$A$15,0),0)&amp;""</f>
        <v>Interruptions-related quality of service</v>
      </c>
      <c r="C53" s="156" t="str">
        <f>'RFPR cover'!$C$14</f>
        <v>£m 12/13</v>
      </c>
      <c r="D53" s="784">
        <f>INDEX($D$11:$K$17,MATCH($A53,$A$11:$A$17,0),0)</f>
        <v>12.765856491209185</v>
      </c>
      <c r="E53" s="784">
        <f t="shared" ref="E53:K53" si="15">INDEX($D$11:$K$17,MATCH($A53,$A$11:$A$17,0),0)</f>
        <v>11.807586443171406</v>
      </c>
      <c r="F53" s="784">
        <f t="shared" si="15"/>
        <v>9.6726939856675198</v>
      </c>
      <c r="G53" s="784">
        <f t="shared" si="15"/>
        <v>9.8685333648664155</v>
      </c>
      <c r="H53" s="784">
        <f t="shared" si="15"/>
        <v>13.528281999999999</v>
      </c>
      <c r="I53" s="784">
        <f t="shared" si="15"/>
        <v>12.183481092266835</v>
      </c>
      <c r="J53" s="784">
        <f t="shared" si="15"/>
        <v>13.093509536789343</v>
      </c>
      <c r="K53" s="784">
        <f t="shared" si="15"/>
        <v>12.17301236064135</v>
      </c>
      <c r="L53" s="673">
        <f>SUM(D53:INDEX(D53:K53,0,MATCH('RFPR cover'!$C$7,$D$6:$K$6,0)))</f>
        <v>95.092955274612052</v>
      </c>
      <c r="M53" s="674">
        <f>SUM(D53:K53)</f>
        <v>95.092955274612052</v>
      </c>
    </row>
    <row r="54" spans="1:13" s="2" customFormat="1">
      <c r="A54" s="161"/>
      <c r="B54" s="35" t="s">
        <v>200</v>
      </c>
      <c r="C54" s="295" t="s">
        <v>201</v>
      </c>
      <c r="D54" s="889">
        <f>IF($C54=$B$33,$B$33,INDEX(Data!$G$14:$G$30,MATCH('R5 - Output Incentives'!D$6+RIGHT('R5 - Output Incentives'!$C54,2),Data!$C$14:$C$30,0),0))</f>
        <v>0.19</v>
      </c>
      <c r="E54" s="890">
        <f>IF($C54=$B$33,$B$33,INDEX(Data!$G$14:$G$30,MATCH('R5 - Output Incentives'!E$6+RIGHT('R5 - Output Incentives'!$C54,2),Data!$C$14:$C$30,0),0))</f>
        <v>0.19</v>
      </c>
      <c r="F54" s="890">
        <f>IF($C54=$B$33,$B$33,INDEX(Data!$G$14:$G$30,MATCH('R5 - Output Incentives'!F$6+RIGHT('R5 - Output Incentives'!$C54,2),Data!$C$14:$C$30,0),0))</f>
        <v>0.19</v>
      </c>
      <c r="G54" s="890">
        <f>IF($C54=$B$33,$B$33,INDEX(Data!$G$14:$G$30,MATCH('R5 - Output Incentives'!G$6+RIGHT('R5 - Output Incentives'!$C54,2),Data!$C$14:$C$30,0),0))</f>
        <v>0.19</v>
      </c>
      <c r="H54" s="890">
        <f>IF($C54=$B$33,$B$33,INDEX(Data!$G$14:$G$30,MATCH('R5 - Output Incentives'!H$6+RIGHT('R5 - Output Incentives'!$C54,2),Data!$C$14:$C$30,0),0))</f>
        <v>0.19</v>
      </c>
      <c r="I54" s="890">
        <f>IF($C54=$B$33,$B$33,INDEX(Data!$G$14:$G$30,MATCH('R5 - Output Incentives'!I$6+RIGHT('R5 - Output Incentives'!$C54,2),Data!$C$14:$C$30,0),0))</f>
        <v>0.19</v>
      </c>
      <c r="J54" s="890">
        <f>IF($C54=$B$33,$B$33,INDEX(Data!$G$14:$G$30,MATCH('R5 - Output Incentives'!J$6+RIGHT('R5 - Output Incentives'!$C54,2),Data!$C$14:$C$30,0),0))</f>
        <v>0.19</v>
      </c>
      <c r="K54" s="891">
        <f>IF($C54=$B$33,$B$33,INDEX(Data!$G$14:$G$30,MATCH('R5 - Output Incentives'!K$6+RIGHT('R5 - Output Incentives'!$C54,2),Data!$C$14:$C$30,0),0))</f>
        <v>0.19</v>
      </c>
      <c r="L54" s="786"/>
      <c r="M54" s="787"/>
    </row>
    <row r="55" spans="1:13" s="2" customFormat="1">
      <c r="A55" s="161"/>
      <c r="B55" s="35" t="s">
        <v>209</v>
      </c>
      <c r="C55" s="156"/>
      <c r="D55" s="612">
        <f>IFERROR(D53*(1-D54),0)</f>
        <v>10.34034375787944</v>
      </c>
      <c r="E55" s="613">
        <f t="shared" ref="E55:K55" si="16">IFERROR(E53*(1-E54),0)</f>
        <v>9.5641450189688388</v>
      </c>
      <c r="F55" s="613">
        <f t="shared" si="16"/>
        <v>7.8348821283906913</v>
      </c>
      <c r="G55" s="613">
        <f t="shared" si="16"/>
        <v>7.9935120255417971</v>
      </c>
      <c r="H55" s="613">
        <f t="shared" si="16"/>
        <v>10.957908420000001</v>
      </c>
      <c r="I55" s="613">
        <f t="shared" si="16"/>
        <v>9.8686196847361369</v>
      </c>
      <c r="J55" s="613">
        <f t="shared" si="16"/>
        <v>10.605742724799368</v>
      </c>
      <c r="K55" s="613">
        <f t="shared" si="16"/>
        <v>9.8601400121194942</v>
      </c>
      <c r="L55" s="671">
        <f>SUM(D55:INDEX(D55:K55,0,MATCH('RFPR cover'!$C$7,$D$6:$K$6,0)))</f>
        <v>77.025293772435759</v>
      </c>
      <c r="M55" s="672">
        <f>SUM(D55:K55)</f>
        <v>77.025293772435759</v>
      </c>
    </row>
    <row r="56" spans="1:13" s="2" customFormat="1">
      <c r="A56" s="161"/>
      <c r="B56" s="51"/>
      <c r="C56" s="157"/>
      <c r="D56" s="157"/>
      <c r="E56" s="157"/>
      <c r="F56" s="157"/>
      <c r="G56" s="157"/>
      <c r="H56" s="157"/>
      <c r="I56" s="157"/>
      <c r="J56" s="157"/>
      <c r="K56" s="157"/>
      <c r="L56" s="157"/>
      <c r="M56" s="157"/>
    </row>
    <row r="57" spans="1:13" s="2" customFormat="1">
      <c r="A57" s="161" t="str">
        <f>$A$13</f>
        <v>c</v>
      </c>
      <c r="B57" s="172" t="str">
        <f>INDEX($B$11:$B$15,MATCH($A57,$A$11:$A$15,0),0)&amp;""</f>
        <v>Incentive on connections engagement</v>
      </c>
      <c r="C57" s="156" t="str">
        <f>'RFPR cover'!$C$14</f>
        <v>£m 12/13</v>
      </c>
      <c r="D57" s="784">
        <f>INDEX($D$11:$K$17,MATCH($A57,$A$11:$A$17,0),0)</f>
        <v>0</v>
      </c>
      <c r="E57" s="784">
        <f t="shared" ref="E57:K57" si="17">INDEX($D$11:$K$17,MATCH($A57,$A$11:$A$17,0),0)</f>
        <v>0</v>
      </c>
      <c r="F57" s="784">
        <f t="shared" si="17"/>
        <v>0</v>
      </c>
      <c r="G57" s="784">
        <f t="shared" si="17"/>
        <v>0</v>
      </c>
      <c r="H57" s="784">
        <f t="shared" si="17"/>
        <v>0</v>
      </c>
      <c r="I57" s="784">
        <f t="shared" si="17"/>
        <v>0</v>
      </c>
      <c r="J57" s="784">
        <f t="shared" si="17"/>
        <v>0</v>
      </c>
      <c r="K57" s="784">
        <f t="shared" si="17"/>
        <v>0</v>
      </c>
      <c r="L57" s="673">
        <f>SUM(D57:INDEX(D57:K57,0,MATCH('RFPR cover'!$C$7,$D$6:$K$6,0)))</f>
        <v>0</v>
      </c>
      <c r="M57" s="674">
        <f>SUM(D57:K57)</f>
        <v>0</v>
      </c>
    </row>
    <row r="58" spans="1:13" s="2" customFormat="1">
      <c r="A58" s="161"/>
      <c r="B58" s="35" t="s">
        <v>200</v>
      </c>
      <c r="C58" s="295" t="s">
        <v>207</v>
      </c>
      <c r="D58" s="889">
        <f>IF($C58=$B$33,$B$33,INDEX(Data!$G$14:$G$30,MATCH('R5 - Output Incentives'!D$6+RIGHT('R5 - Output Incentives'!$C58,2),Data!$C$14:$C$30,0),0))</f>
        <v>0.19</v>
      </c>
      <c r="E58" s="890">
        <f>IF($C58=$B$33,$B$33,INDEX(Data!$G$14:$G$30,MATCH('R5 - Output Incentives'!E$6+RIGHT('R5 - Output Incentives'!$C58,2),Data!$C$14:$C$30,0),0))</f>
        <v>0.19</v>
      </c>
      <c r="F58" s="890">
        <f>IF($C58=$B$33,$B$33,INDEX(Data!$G$14:$G$30,MATCH('R5 - Output Incentives'!F$6+RIGHT('R5 - Output Incentives'!$C58,2),Data!$C$14:$C$30,0),0))</f>
        <v>0.19</v>
      </c>
      <c r="G58" s="890">
        <f>IF($C58=$B$33,$B$33,INDEX(Data!$G$14:$G$30,MATCH('R5 - Output Incentives'!G$6+RIGHT('R5 - Output Incentives'!$C58,2),Data!$C$14:$C$30,0),0))</f>
        <v>0.19</v>
      </c>
      <c r="H58" s="890">
        <f>IF($C58=$B$33,$B$33,INDEX(Data!$G$14:$G$30,MATCH('R5 - Output Incentives'!H$6+RIGHT('R5 - Output Incentives'!$C58,2),Data!$C$14:$C$30,0),0))</f>
        <v>0.19</v>
      </c>
      <c r="I58" s="890">
        <f>IF($C58=$B$33,$B$33,INDEX(Data!$G$14:$G$30,MATCH('R5 - Output Incentives'!I$6+RIGHT('R5 - Output Incentives'!$C58,2),Data!$C$14:$C$30,0),0))</f>
        <v>0.19</v>
      </c>
      <c r="J58" s="890">
        <f>IF($C58=$B$33,$B$33,INDEX(Data!$G$14:$G$30,MATCH('R5 - Output Incentives'!J$6+RIGHT('R5 - Output Incentives'!$C58,2),Data!$C$14:$C$30,0),0))</f>
        <v>0.19</v>
      </c>
      <c r="K58" s="891">
        <f>IF($C58=$B$33,$B$33,INDEX(Data!$G$14:$G$30,MATCH('R5 - Output Incentives'!K$6+RIGHT('R5 - Output Incentives'!$C58,2),Data!$C$14:$C$30,0),0))</f>
        <v>0.19</v>
      </c>
      <c r="L58" s="786"/>
      <c r="M58" s="787"/>
    </row>
    <row r="59" spans="1:13" s="2" customFormat="1">
      <c r="A59" s="161"/>
      <c r="B59" s="35" t="s">
        <v>209</v>
      </c>
      <c r="C59" s="156"/>
      <c r="D59" s="612">
        <f>IFERROR(D57*(1-D58),0)</f>
        <v>0</v>
      </c>
      <c r="E59" s="613">
        <f t="shared" ref="E59:K59" si="18">IFERROR(E57*(1-E58),0)</f>
        <v>0</v>
      </c>
      <c r="F59" s="613">
        <f t="shared" si="18"/>
        <v>0</v>
      </c>
      <c r="G59" s="613">
        <f t="shared" si="18"/>
        <v>0</v>
      </c>
      <c r="H59" s="613">
        <f t="shared" si="18"/>
        <v>0</v>
      </c>
      <c r="I59" s="613">
        <f t="shared" si="18"/>
        <v>0</v>
      </c>
      <c r="J59" s="613">
        <f t="shared" si="18"/>
        <v>0</v>
      </c>
      <c r="K59" s="613">
        <f t="shared" si="18"/>
        <v>0</v>
      </c>
      <c r="L59" s="671">
        <f>SUM(D59:INDEX(D59:K59,0,MATCH('RFPR cover'!$C$7,$D$6:$K$6,0)))</f>
        <v>0</v>
      </c>
      <c r="M59" s="672">
        <f>SUM(D59:K59)</f>
        <v>0</v>
      </c>
    </row>
    <row r="60" spans="1:13" s="2" customFormat="1">
      <c r="A60" s="161"/>
      <c r="B60" s="51"/>
      <c r="C60" s="157"/>
      <c r="D60" s="157"/>
      <c r="E60" s="157"/>
      <c r="F60" s="157"/>
      <c r="G60" s="157"/>
      <c r="H60" s="157"/>
      <c r="I60" s="157"/>
      <c r="J60" s="157"/>
      <c r="K60" s="157"/>
      <c r="L60" s="157"/>
      <c r="M60" s="157"/>
    </row>
    <row r="61" spans="1:13" s="2" customFormat="1">
      <c r="A61" s="161" t="str">
        <f>$A$14</f>
        <v>d</v>
      </c>
      <c r="B61" s="172" t="str">
        <f>INDEX($B$11:$B$15,MATCH($A61,$A$11:$A$15,0),0)&amp;""</f>
        <v>Time to Connect Incentive</v>
      </c>
      <c r="C61" s="156" t="str">
        <f>'RFPR cover'!$C$14</f>
        <v>£m 12/13</v>
      </c>
      <c r="D61" s="784">
        <f>INDEX($D$11:$K$17,MATCH($A61,$A$11:$A$17,0),0)</f>
        <v>1.2</v>
      </c>
      <c r="E61" s="784">
        <f t="shared" ref="E61:K61" si="19">INDEX($D$11:$K$17,MATCH($A61,$A$11:$A$17,0),0)</f>
        <v>1.2</v>
      </c>
      <c r="F61" s="784">
        <f t="shared" si="19"/>
        <v>1.2</v>
      </c>
      <c r="G61" s="784">
        <f t="shared" si="19"/>
        <v>1.1762999999999999</v>
      </c>
      <c r="H61" s="784">
        <f t="shared" si="19"/>
        <v>1.19327113125</v>
      </c>
      <c r="I61" s="784">
        <f t="shared" si="19"/>
        <v>1.1916315</v>
      </c>
      <c r="J61" s="784">
        <f t="shared" si="19"/>
        <v>1.192168971081901</v>
      </c>
      <c r="K61" s="784">
        <f t="shared" si="19"/>
        <v>1.2</v>
      </c>
      <c r="L61" s="673">
        <f>SUM(D61:INDEX(D61:K61,0,MATCH('RFPR cover'!$C$7,$D$6:$K$6,0)))</f>
        <v>9.5533716023319002</v>
      </c>
      <c r="M61" s="674">
        <f>SUM(D61:K61)</f>
        <v>9.5533716023319002</v>
      </c>
    </row>
    <row r="62" spans="1:13" s="2" customFormat="1">
      <c r="A62" s="161"/>
      <c r="B62" s="35" t="s">
        <v>200</v>
      </c>
      <c r="C62" s="295" t="s">
        <v>201</v>
      </c>
      <c r="D62" s="889">
        <f>IF($C62=$B$33,$B$33,INDEX(Data!$G$14:$G$30,MATCH('R5 - Output Incentives'!D$6+RIGHT('R5 - Output Incentives'!$C62,2),Data!$C$14:$C$30,0),0))</f>
        <v>0.19</v>
      </c>
      <c r="E62" s="890">
        <f>IF($C62=$B$33,$B$33,INDEX(Data!$G$14:$G$30,MATCH('R5 - Output Incentives'!E$6+RIGHT('R5 - Output Incentives'!$C62,2),Data!$C$14:$C$30,0),0))</f>
        <v>0.19</v>
      </c>
      <c r="F62" s="890">
        <f>IF($C62=$B$33,$B$33,INDEX(Data!$G$14:$G$30,MATCH('R5 - Output Incentives'!F$6+RIGHT('R5 - Output Incentives'!$C62,2),Data!$C$14:$C$30,0),0))</f>
        <v>0.19</v>
      </c>
      <c r="G62" s="890">
        <f>IF($C62=$B$33,$B$33,INDEX(Data!$G$14:$G$30,MATCH('R5 - Output Incentives'!G$6+RIGHT('R5 - Output Incentives'!$C62,2),Data!$C$14:$C$30,0),0))</f>
        <v>0.19</v>
      </c>
      <c r="H62" s="890">
        <f>IF($C62=$B$33,$B$33,INDEX(Data!$G$14:$G$30,MATCH('R5 - Output Incentives'!H$6+RIGHT('R5 - Output Incentives'!$C62,2),Data!$C$14:$C$30,0),0))</f>
        <v>0.19</v>
      </c>
      <c r="I62" s="890">
        <f>IF($C62=$B$33,$B$33,INDEX(Data!$G$14:$G$30,MATCH('R5 - Output Incentives'!I$6+RIGHT('R5 - Output Incentives'!$C62,2),Data!$C$14:$C$30,0),0))</f>
        <v>0.19</v>
      </c>
      <c r="J62" s="890">
        <f>IF($C62=$B$33,$B$33,INDEX(Data!$G$14:$G$30,MATCH('R5 - Output Incentives'!J$6+RIGHT('R5 - Output Incentives'!$C62,2),Data!$C$14:$C$30,0),0))</f>
        <v>0.19</v>
      </c>
      <c r="K62" s="891">
        <f>IF($C62=$B$33,$B$33,INDEX(Data!$G$14:$G$30,MATCH('R5 - Output Incentives'!K$6+RIGHT('R5 - Output Incentives'!$C62,2),Data!$C$14:$C$30,0),0))</f>
        <v>0.19</v>
      </c>
      <c r="L62" s="786"/>
      <c r="M62" s="787"/>
    </row>
    <row r="63" spans="1:13" s="2" customFormat="1">
      <c r="A63" s="161"/>
      <c r="B63" s="35" t="s">
        <v>209</v>
      </c>
      <c r="C63" s="156"/>
      <c r="D63" s="612">
        <f>IFERROR(D61*(1-D62),0)</f>
        <v>0.97199999999999998</v>
      </c>
      <c r="E63" s="613">
        <f t="shared" ref="E63:K63" si="20">IFERROR(E61*(1-E62),0)</f>
        <v>0.97199999999999998</v>
      </c>
      <c r="F63" s="613">
        <f t="shared" si="20"/>
        <v>0.97199999999999998</v>
      </c>
      <c r="G63" s="613">
        <f t="shared" si="20"/>
        <v>0.95280299999999996</v>
      </c>
      <c r="H63" s="613">
        <f t="shared" si="20"/>
        <v>0.96654961631250003</v>
      </c>
      <c r="I63" s="613">
        <f t="shared" si="20"/>
        <v>0.96522151499999997</v>
      </c>
      <c r="J63" s="613">
        <f t="shared" si="20"/>
        <v>0.96565686657633987</v>
      </c>
      <c r="K63" s="613">
        <f t="shared" si="20"/>
        <v>0.97199999999999998</v>
      </c>
      <c r="L63" s="671">
        <f>SUM(D63:INDEX(D63:K63,0,MATCH('RFPR cover'!$C$7,$D$6:$K$6,0)))</f>
        <v>7.7382309978888397</v>
      </c>
      <c r="M63" s="672">
        <f>SUM(D63:K63)</f>
        <v>7.7382309978888397</v>
      </c>
    </row>
    <row r="64" spans="1:13" s="2" customFormat="1">
      <c r="A64" s="161"/>
      <c r="B64" s="51"/>
      <c r="C64" s="157"/>
      <c r="D64" s="157"/>
      <c r="E64" s="157"/>
      <c r="F64" s="157"/>
      <c r="G64" s="157"/>
      <c r="H64" s="157"/>
      <c r="I64" s="157"/>
      <c r="J64" s="157"/>
      <c r="K64" s="157"/>
      <c r="L64" s="157"/>
      <c r="M64" s="157"/>
    </row>
    <row r="65" spans="1:14" s="2" customFormat="1">
      <c r="A65" s="161" t="str">
        <f>$A$15</f>
        <v>e</v>
      </c>
      <c r="B65" s="172" t="str">
        <f>INDEX($B$11:$B$15,MATCH($A65,$A$11:$A$15,0),0)&amp;""</f>
        <v>Losses discretionary reward scheme</v>
      </c>
      <c r="C65" s="156" t="str">
        <f>'RFPR cover'!$C$14</f>
        <v>£m 12/13</v>
      </c>
      <c r="D65" s="784">
        <f>INDEX($D$11:$K$17,MATCH($A65,$A$11:$A$17,0),0)</f>
        <v>0</v>
      </c>
      <c r="E65" s="784">
        <f t="shared" ref="E65:K65" si="21">INDEX($D$11:$K$17,MATCH($A65,$A$11:$A$17,0),0)</f>
        <v>0.69499999999999995</v>
      </c>
      <c r="F65" s="784">
        <f t="shared" si="21"/>
        <v>0</v>
      </c>
      <c r="G65" s="784">
        <f t="shared" si="21"/>
        <v>0</v>
      </c>
      <c r="H65" s="784">
        <f t="shared" si="21"/>
        <v>0</v>
      </c>
      <c r="I65" s="784">
        <f t="shared" si="21"/>
        <v>0</v>
      </c>
      <c r="J65" s="784">
        <f t="shared" si="21"/>
        <v>0</v>
      </c>
      <c r="K65" s="784">
        <f t="shared" si="21"/>
        <v>0</v>
      </c>
      <c r="L65" s="673">
        <f>SUM(D65:INDEX(D65:K65,0,MATCH('RFPR cover'!$C$7,$D$6:$K$6,0)))</f>
        <v>0.69499999999999995</v>
      </c>
      <c r="M65" s="674">
        <f>SUM(D65:K65)</f>
        <v>0.69499999999999995</v>
      </c>
    </row>
    <row r="66" spans="1:14" s="2" customFormat="1">
      <c r="A66" s="161"/>
      <c r="B66" s="35" t="s">
        <v>200</v>
      </c>
      <c r="C66" s="295" t="s">
        <v>208</v>
      </c>
      <c r="D66" s="889">
        <f>IF($C66=$B$33,$B$33,INDEX(Data!$G$14:$G$30,MATCH('R5 - Output Incentives'!D$6+RIGHT('R5 - Output Incentives'!$C66,2),Data!$C$14:$C$30,0),0))</f>
        <v>0.2</v>
      </c>
      <c r="E66" s="890">
        <f>IF($C66=$B$33,$B$33,INDEX(Data!$G$14:$G$30,MATCH('R5 - Output Incentives'!E$6+RIGHT('R5 - Output Incentives'!$C66,2),Data!$C$14:$C$30,0),0))</f>
        <v>0.19</v>
      </c>
      <c r="F66" s="890">
        <f>IF($C66=$B$33,$B$33,INDEX(Data!$G$14:$G$30,MATCH('R5 - Output Incentives'!F$6+RIGHT('R5 - Output Incentives'!$C66,2),Data!$C$14:$C$30,0),0))</f>
        <v>0.19</v>
      </c>
      <c r="G66" s="890">
        <f>IF($C66=$B$33,$B$33,INDEX(Data!$G$14:$G$30,MATCH('R5 - Output Incentives'!G$6+RIGHT('R5 - Output Incentives'!$C66,2),Data!$C$14:$C$30,0),0))</f>
        <v>0.19</v>
      </c>
      <c r="H66" s="890">
        <f>IF($C66=$B$33,$B$33,INDEX(Data!$G$14:$G$30,MATCH('R5 - Output Incentives'!H$6+RIGHT('R5 - Output Incentives'!$C66,2),Data!$C$14:$C$30,0),0))</f>
        <v>0.19</v>
      </c>
      <c r="I66" s="890">
        <f>IF($C66=$B$33,$B$33,INDEX(Data!$G$14:$G$30,MATCH('R5 - Output Incentives'!I$6+RIGHT('R5 - Output Incentives'!$C66,2),Data!$C$14:$C$30,0),0))</f>
        <v>0.19</v>
      </c>
      <c r="J66" s="890">
        <f>IF($C66=$B$33,$B$33,INDEX(Data!$G$14:$G$30,MATCH('R5 - Output Incentives'!J$6+RIGHT('R5 - Output Incentives'!$C66,2),Data!$C$14:$C$30,0),0))</f>
        <v>0.19</v>
      </c>
      <c r="K66" s="891">
        <f>IF($C66=$B$33,$B$33,INDEX(Data!$G$14:$G$30,MATCH('R5 - Output Incentives'!K$6+RIGHT('R5 - Output Incentives'!$C66,2),Data!$C$14:$C$30,0),0))</f>
        <v>0.19</v>
      </c>
      <c r="L66" s="786"/>
      <c r="M66" s="787"/>
    </row>
    <row r="67" spans="1:14" s="2" customFormat="1">
      <c r="A67" s="161"/>
      <c r="B67" s="35" t="s">
        <v>209</v>
      </c>
      <c r="C67" s="156"/>
      <c r="D67" s="612">
        <f>IFERROR(D65*(1-D66),0)</f>
        <v>0</v>
      </c>
      <c r="E67" s="613">
        <f t="shared" ref="E67:K67" si="22">IFERROR(E65*(1-E66),0)</f>
        <v>0.56294999999999995</v>
      </c>
      <c r="F67" s="613">
        <f t="shared" si="22"/>
        <v>0</v>
      </c>
      <c r="G67" s="613">
        <f t="shared" si="22"/>
        <v>0</v>
      </c>
      <c r="H67" s="613">
        <f t="shared" si="22"/>
        <v>0</v>
      </c>
      <c r="I67" s="613">
        <f t="shared" si="22"/>
        <v>0</v>
      </c>
      <c r="J67" s="613">
        <f t="shared" si="22"/>
        <v>0</v>
      </c>
      <c r="K67" s="613">
        <f t="shared" si="22"/>
        <v>0</v>
      </c>
      <c r="L67" s="671">
        <f>SUM(D67:INDEX(D67:K67,0,MATCH('RFPR cover'!$C$7,$D$6:$K$6,0)))</f>
        <v>0.56294999999999995</v>
      </c>
      <c r="M67" s="672">
        <f>SUM(D67:K67)</f>
        <v>0.56294999999999995</v>
      </c>
    </row>
    <row r="68" spans="1:14" s="2" customFormat="1">
      <c r="A68" s="161"/>
      <c r="B68" s="51"/>
      <c r="C68" s="157"/>
      <c r="D68" s="157"/>
      <c r="E68" s="157"/>
      <c r="F68" s="157"/>
      <c r="G68" s="157"/>
      <c r="H68" s="157"/>
      <c r="I68" s="157"/>
      <c r="J68" s="157"/>
      <c r="K68" s="157"/>
      <c r="L68" s="157"/>
      <c r="M68" s="157"/>
    </row>
    <row r="69" spans="1:14" s="2" customFormat="1">
      <c r="A69" s="161" t="str">
        <f>$A$16</f>
        <v>f</v>
      </c>
      <c r="B69" s="172" t="str">
        <f>INDEX($B$11:$B$17,MATCH($A69,$A$11:$A$17,0),0)&amp;""</f>
        <v/>
      </c>
      <c r="C69" s="156" t="str">
        <f>'RFPR cover'!$C$14</f>
        <v>£m 12/13</v>
      </c>
      <c r="D69" s="784">
        <f>INDEX($D$11:$K$17,MATCH($A69,$A$11:$A$17,0),0)</f>
        <v>0</v>
      </c>
      <c r="E69" s="784">
        <f t="shared" ref="E69:K69" si="23">INDEX($D$11:$K$17,MATCH($A69,$A$11:$A$17,0),0)</f>
        <v>0</v>
      </c>
      <c r="F69" s="784">
        <f t="shared" si="23"/>
        <v>0</v>
      </c>
      <c r="G69" s="784">
        <f t="shared" si="23"/>
        <v>0</v>
      </c>
      <c r="H69" s="784">
        <f t="shared" si="23"/>
        <v>0</v>
      </c>
      <c r="I69" s="784">
        <f t="shared" si="23"/>
        <v>0</v>
      </c>
      <c r="J69" s="784">
        <f t="shared" si="23"/>
        <v>0</v>
      </c>
      <c r="K69" s="784">
        <f t="shared" si="23"/>
        <v>0</v>
      </c>
      <c r="L69" s="673">
        <f>SUM(D69:INDEX(D69:K69,0,MATCH('RFPR cover'!$C$7,$D$6:$K$6,0)))</f>
        <v>0</v>
      </c>
      <c r="M69" s="674">
        <f>SUM(D69:K69)</f>
        <v>0</v>
      </c>
    </row>
    <row r="70" spans="1:14" s="2" customFormat="1">
      <c r="A70" s="161"/>
      <c r="B70" s="35" t="s">
        <v>200</v>
      </c>
      <c r="C70" s="295" t="s">
        <v>208</v>
      </c>
      <c r="D70" s="889">
        <f>IF($C70=$B$33,$B$33,INDEX(Data!$G$14:$G$30,MATCH('R5 - Output Incentives'!D$6+RIGHT('R5 - Output Incentives'!$C70,2),Data!$C$14:$C$30,0),0))</f>
        <v>0.2</v>
      </c>
      <c r="E70" s="890">
        <f>IF($C70=$B$33,$B$33,INDEX(Data!$G$14:$G$30,MATCH('R5 - Output Incentives'!E$6+RIGHT('R5 - Output Incentives'!$C70,2),Data!$C$14:$C$30,0),0))</f>
        <v>0.19</v>
      </c>
      <c r="F70" s="890">
        <f>IF($C70=$B$33,$B$33,INDEX(Data!$G$14:$G$30,MATCH('R5 - Output Incentives'!F$6+RIGHT('R5 - Output Incentives'!$C70,2),Data!$C$14:$C$30,0),0))</f>
        <v>0.19</v>
      </c>
      <c r="G70" s="890">
        <f>IF($C70=$B$33,$B$33,INDEX(Data!$G$14:$G$30,MATCH('R5 - Output Incentives'!G$6+RIGHT('R5 - Output Incentives'!$C70,2),Data!$C$14:$C$30,0),0))</f>
        <v>0.19</v>
      </c>
      <c r="H70" s="890">
        <f>IF($C70=$B$33,$B$33,INDEX(Data!$G$14:$G$30,MATCH('R5 - Output Incentives'!H$6+RIGHT('R5 - Output Incentives'!$C70,2),Data!$C$14:$C$30,0),0))</f>
        <v>0.19</v>
      </c>
      <c r="I70" s="890">
        <f>IF($C70=$B$33,$B$33,INDEX(Data!$G$14:$G$30,MATCH('R5 - Output Incentives'!I$6+RIGHT('R5 - Output Incentives'!$C70,2),Data!$C$14:$C$30,0),0))</f>
        <v>0.19</v>
      </c>
      <c r="J70" s="890">
        <f>IF($C70=$B$33,$B$33,INDEX(Data!$G$14:$G$30,MATCH('R5 - Output Incentives'!J$6+RIGHT('R5 - Output Incentives'!$C70,2),Data!$C$14:$C$30,0),0))</f>
        <v>0.19</v>
      </c>
      <c r="K70" s="891">
        <f>IF($C70=$B$33,$B$33,INDEX(Data!$G$14:$G$30,MATCH('R5 - Output Incentives'!K$6+RIGHT('R5 - Output Incentives'!$C70,2),Data!$C$14:$C$30,0),0))</f>
        <v>0.19</v>
      </c>
      <c r="L70" s="786"/>
      <c r="M70" s="787"/>
    </row>
    <row r="71" spans="1:14" s="2" customFormat="1">
      <c r="A71" s="161"/>
      <c r="B71" s="35" t="s">
        <v>209</v>
      </c>
      <c r="C71" s="156"/>
      <c r="D71" s="612">
        <f>IFERROR(D69*(1-D70),0)</f>
        <v>0</v>
      </c>
      <c r="E71" s="613">
        <f t="shared" ref="E71:K71" si="24">IFERROR(E69*(1-E70),0)</f>
        <v>0</v>
      </c>
      <c r="F71" s="613">
        <f t="shared" si="24"/>
        <v>0</v>
      </c>
      <c r="G71" s="613">
        <f t="shared" si="24"/>
        <v>0</v>
      </c>
      <c r="H71" s="613">
        <f t="shared" si="24"/>
        <v>0</v>
      </c>
      <c r="I71" s="613">
        <f t="shared" si="24"/>
        <v>0</v>
      </c>
      <c r="J71" s="613">
        <f t="shared" si="24"/>
        <v>0</v>
      </c>
      <c r="K71" s="613">
        <f t="shared" si="24"/>
        <v>0</v>
      </c>
      <c r="L71" s="671">
        <f>SUM(D71:INDEX(D71:K71,0,MATCH('RFPR cover'!$C$7,$D$6:$K$6,0)))</f>
        <v>0</v>
      </c>
      <c r="M71" s="672">
        <f>SUM(D71:K71)</f>
        <v>0</v>
      </c>
    </row>
    <row r="72" spans="1:14" s="2" customFormat="1">
      <c r="A72" s="161"/>
      <c r="B72" s="51"/>
      <c r="C72" s="157"/>
      <c r="D72" s="157"/>
      <c r="E72" s="157"/>
      <c r="F72" s="157"/>
      <c r="G72" s="157"/>
      <c r="H72" s="157"/>
      <c r="I72" s="157"/>
      <c r="J72" s="157"/>
      <c r="K72" s="157"/>
      <c r="L72" s="157"/>
      <c r="M72" s="157"/>
    </row>
    <row r="73" spans="1:14" s="2" customFormat="1">
      <c r="A73" s="161" t="s">
        <v>464</v>
      </c>
      <c r="B73" s="172" t="str">
        <f>INDEX($B$11:$B$17,MATCH($A73,$A$11:$A$17,0),0)&amp;""</f>
        <v/>
      </c>
      <c r="C73" s="156" t="str">
        <f>'RFPR cover'!$C$14</f>
        <v>£m 12/13</v>
      </c>
      <c r="D73" s="784">
        <f>INDEX($D$11:$K$17,MATCH($A73,$A$11:$A$17,0),0)</f>
        <v>0</v>
      </c>
      <c r="E73" s="784">
        <f t="shared" ref="E73:K73" si="25">INDEX($D$11:$K$17,MATCH($A73,$A$11:$A$17,0),0)</f>
        <v>0</v>
      </c>
      <c r="F73" s="784">
        <f t="shared" si="25"/>
        <v>0</v>
      </c>
      <c r="G73" s="784">
        <f t="shared" si="25"/>
        <v>0</v>
      </c>
      <c r="H73" s="784">
        <f t="shared" si="25"/>
        <v>0</v>
      </c>
      <c r="I73" s="784">
        <f t="shared" si="25"/>
        <v>0</v>
      </c>
      <c r="J73" s="784">
        <f t="shared" si="25"/>
        <v>0</v>
      </c>
      <c r="K73" s="784">
        <f t="shared" si="25"/>
        <v>0</v>
      </c>
      <c r="L73" s="673">
        <f>SUM(D73:INDEX(D73:K73,0,MATCH('RFPR cover'!$C$7,$D$6:$K$6,0)))</f>
        <v>0</v>
      </c>
      <c r="M73" s="674">
        <f>SUM(D73:K73)</f>
        <v>0</v>
      </c>
    </row>
    <row r="74" spans="1:14" s="2" customFormat="1">
      <c r="A74" s="161"/>
      <c r="B74" s="35" t="s">
        <v>200</v>
      </c>
      <c r="C74" s="295" t="s">
        <v>208</v>
      </c>
      <c r="D74" s="889">
        <f>IF($C74=$B$33,$B$33,INDEX(Data!$G$14:$G$30,MATCH('R5 - Output Incentives'!D$6+RIGHT('R5 - Output Incentives'!$C74,2),Data!$C$14:$C$30,0),0))</f>
        <v>0.2</v>
      </c>
      <c r="E74" s="890">
        <f>IF($C74=$B$33,$B$33,INDEX(Data!$G$14:$G$30,MATCH('R5 - Output Incentives'!E$6+RIGHT('R5 - Output Incentives'!$C74,2),Data!$C$14:$C$30,0),0))</f>
        <v>0.19</v>
      </c>
      <c r="F74" s="890">
        <f>IF($C74=$B$33,$B$33,INDEX(Data!$G$14:$G$30,MATCH('R5 - Output Incentives'!F$6+RIGHT('R5 - Output Incentives'!$C74,2),Data!$C$14:$C$30,0),0))</f>
        <v>0.19</v>
      </c>
      <c r="G74" s="890">
        <f>IF($C74=$B$33,$B$33,INDEX(Data!$G$14:$G$30,MATCH('R5 - Output Incentives'!G$6+RIGHT('R5 - Output Incentives'!$C74,2),Data!$C$14:$C$30,0),0))</f>
        <v>0.19</v>
      </c>
      <c r="H74" s="890">
        <f>IF($C74=$B$33,$B$33,INDEX(Data!$G$14:$G$30,MATCH('R5 - Output Incentives'!H$6+RIGHT('R5 - Output Incentives'!$C74,2),Data!$C$14:$C$30,0),0))</f>
        <v>0.19</v>
      </c>
      <c r="I74" s="890">
        <f>IF($C74=$B$33,$B$33,INDEX(Data!$G$14:$G$30,MATCH('R5 - Output Incentives'!I$6+RIGHT('R5 - Output Incentives'!$C74,2),Data!$C$14:$C$30,0),0))</f>
        <v>0.19</v>
      </c>
      <c r="J74" s="890">
        <f>IF($C74=$B$33,$B$33,INDEX(Data!$G$14:$G$30,MATCH('R5 - Output Incentives'!J$6+RIGHT('R5 - Output Incentives'!$C74,2),Data!$C$14:$C$30,0),0))</f>
        <v>0.19</v>
      </c>
      <c r="K74" s="891">
        <f>IF($C74=$B$33,$B$33,INDEX(Data!$G$14:$G$30,MATCH('R5 - Output Incentives'!K$6+RIGHT('R5 - Output Incentives'!$C74,2),Data!$C$14:$C$30,0),0))</f>
        <v>0.19</v>
      </c>
      <c r="L74" s="786"/>
      <c r="M74" s="787"/>
    </row>
    <row r="75" spans="1:14" s="2" customFormat="1">
      <c r="A75" s="161"/>
      <c r="B75" s="35" t="s">
        <v>209</v>
      </c>
      <c r="C75" s="156"/>
      <c r="D75" s="612">
        <f>IFERROR(D73*(1-D74),0)</f>
        <v>0</v>
      </c>
      <c r="E75" s="613">
        <f t="shared" ref="E75:K75" si="26">IFERROR(E73*(1-E74),0)</f>
        <v>0</v>
      </c>
      <c r="F75" s="613">
        <f t="shared" si="26"/>
        <v>0</v>
      </c>
      <c r="G75" s="613">
        <f t="shared" si="26"/>
        <v>0</v>
      </c>
      <c r="H75" s="613">
        <f t="shared" si="26"/>
        <v>0</v>
      </c>
      <c r="I75" s="613">
        <f t="shared" si="26"/>
        <v>0</v>
      </c>
      <c r="J75" s="613">
        <f t="shared" si="26"/>
        <v>0</v>
      </c>
      <c r="K75" s="613">
        <f t="shared" si="26"/>
        <v>0</v>
      </c>
      <c r="L75" s="671">
        <f>SUM(D75:INDEX(D75:K75,0,MATCH('RFPR cover'!$C$7,$D$6:$K$6,0)))</f>
        <v>0</v>
      </c>
      <c r="M75" s="672">
        <f>SUM(D75:K75)</f>
        <v>0</v>
      </c>
    </row>
    <row r="76" spans="1:14" s="535" customFormat="1" ht="14.25" customHeight="1">
      <c r="A76" s="534"/>
      <c r="C76" s="536"/>
      <c r="D76" s="537"/>
      <c r="E76" s="537"/>
      <c r="F76" s="537"/>
      <c r="G76" s="537"/>
      <c r="H76" s="537"/>
      <c r="I76" s="537"/>
      <c r="J76" s="537"/>
      <c r="K76" s="537"/>
      <c r="L76" s="538"/>
      <c r="M76" s="538"/>
    </row>
    <row r="77" spans="1:14" s="2" customFormat="1">
      <c r="B77" s="117" t="s">
        <v>381</v>
      </c>
      <c r="C77" s="151"/>
      <c r="D77" s="134"/>
      <c r="E77" s="134"/>
      <c r="F77" s="134"/>
      <c r="G77" s="134"/>
      <c r="H77" s="134"/>
      <c r="I77" s="134"/>
      <c r="J77" s="134"/>
      <c r="K77" s="134"/>
      <c r="L77" s="81"/>
      <c r="M77" s="81"/>
      <c r="N77" s="81"/>
    </row>
    <row r="78" spans="1:14" s="2" customFormat="1">
      <c r="B78" s="369" t="s">
        <v>380</v>
      </c>
      <c r="C78" s="292"/>
      <c r="D78" s="293"/>
      <c r="E78" s="293"/>
      <c r="F78" s="293"/>
      <c r="G78" s="293"/>
      <c r="H78" s="293"/>
      <c r="I78" s="293"/>
      <c r="J78" s="293"/>
      <c r="K78" s="293"/>
      <c r="L78" s="294"/>
      <c r="M78" s="294"/>
      <c r="N78" s="294"/>
    </row>
    <row r="79" spans="1:14" s="2" customFormat="1">
      <c r="B79" s="369" t="s">
        <v>382</v>
      </c>
      <c r="C79" s="292"/>
      <c r="D79" s="293"/>
      <c r="E79" s="293"/>
      <c r="F79" s="293"/>
      <c r="G79" s="293"/>
      <c r="H79" s="293"/>
      <c r="I79" s="293"/>
      <c r="J79" s="293"/>
      <c r="K79" s="293"/>
      <c r="L79" s="294"/>
      <c r="M79" s="294"/>
      <c r="N79" s="294"/>
    </row>
    <row r="80" spans="1:14" s="535" customFormat="1">
      <c r="B80" s="540"/>
      <c r="C80" s="541"/>
      <c r="D80" s="542"/>
      <c r="E80" s="542"/>
      <c r="F80" s="542"/>
      <c r="G80" s="542"/>
      <c r="H80" s="542"/>
      <c r="I80" s="542"/>
      <c r="J80" s="542"/>
      <c r="K80" s="542"/>
    </row>
    <row r="81" spans="1:12" s="2" customFormat="1">
      <c r="B81" s="12"/>
      <c r="C81" s="543" t="s">
        <v>383</v>
      </c>
      <c r="D81" s="546" t="str">
        <f t="shared" ref="D81:K81" si="27">IF($C50=$B$33,D$6,IF(D$6-RIGHT($C50,1)&lt;$D$6,"Pre-RIIO",D$6-RIGHT($C50,1)))</f>
        <v>Pre-RIIO</v>
      </c>
      <c r="E81" s="547" t="str">
        <f t="shared" si="27"/>
        <v>Pre-RIIO</v>
      </c>
      <c r="F81" s="547">
        <f t="shared" si="27"/>
        <v>2016</v>
      </c>
      <c r="G81" s="547">
        <f t="shared" si="27"/>
        <v>2017</v>
      </c>
      <c r="H81" s="547">
        <f t="shared" si="27"/>
        <v>2018</v>
      </c>
      <c r="I81" s="547">
        <f t="shared" si="27"/>
        <v>2019</v>
      </c>
      <c r="J81" s="547">
        <f t="shared" si="27"/>
        <v>2020</v>
      </c>
      <c r="K81" s="548">
        <f t="shared" si="27"/>
        <v>2021</v>
      </c>
    </row>
    <row r="82" spans="1:12" s="2" customFormat="1">
      <c r="A82" s="3" t="str">
        <f>A11</f>
        <v>a</v>
      </c>
      <c r="B82" s="130" t="str">
        <f>B11&amp;""</f>
        <v>Broad measure of customer service</v>
      </c>
      <c r="C82" s="137" t="s">
        <v>128</v>
      </c>
      <c r="D82" s="640">
        <v>-1.449320316769054</v>
      </c>
      <c r="E82" s="641">
        <v>-1.1472371864336983</v>
      </c>
      <c r="F82" s="641">
        <v>-0.21936500453496982</v>
      </c>
      <c r="G82" s="641">
        <v>0.72065599828257865</v>
      </c>
      <c r="H82" s="619">
        <v>2.0647230891982105</v>
      </c>
      <c r="I82" s="619">
        <v>2.8018730681226858</v>
      </c>
      <c r="J82" s="619">
        <v>3.6046173324385733</v>
      </c>
      <c r="K82" s="619">
        <v>3.8345685424528164</v>
      </c>
    </row>
    <row r="83" spans="1:12" s="2" customFormat="1">
      <c r="A83" s="3"/>
      <c r="B83" s="130"/>
      <c r="C83" s="137"/>
      <c r="D83" s="137"/>
      <c r="E83" s="137"/>
      <c r="F83" s="137"/>
      <c r="G83" s="137"/>
      <c r="H83" s="137"/>
      <c r="I83" s="137"/>
      <c r="J83" s="137"/>
      <c r="K83" s="137"/>
      <c r="L83" s="137"/>
    </row>
    <row r="84" spans="1:12" s="2" customFormat="1">
      <c r="A84" s="3"/>
      <c r="B84" s="130"/>
      <c r="C84" s="543" t="s">
        <v>383</v>
      </c>
      <c r="D84" s="546" t="str">
        <f t="shared" ref="D84:K84" si="28">IF($C54=$B$33,D$6,IF(D$6-RIGHT($C54,1)&lt;$D$6,"Pre-RIIO",D$6-RIGHT($C54,1)))</f>
        <v>Pre-RIIO</v>
      </c>
      <c r="E84" s="547" t="str">
        <f t="shared" si="28"/>
        <v>Pre-RIIO</v>
      </c>
      <c r="F84" s="547">
        <f t="shared" si="28"/>
        <v>2016</v>
      </c>
      <c r="G84" s="547">
        <f t="shared" si="28"/>
        <v>2017</v>
      </c>
      <c r="H84" s="547">
        <f t="shared" si="28"/>
        <v>2018</v>
      </c>
      <c r="I84" s="547">
        <f t="shared" si="28"/>
        <v>2019</v>
      </c>
      <c r="J84" s="547">
        <f t="shared" si="28"/>
        <v>2020</v>
      </c>
      <c r="K84" s="548">
        <f t="shared" si="28"/>
        <v>2021</v>
      </c>
    </row>
    <row r="85" spans="1:12" s="2" customFormat="1">
      <c r="A85" s="3" t="str">
        <f>A12</f>
        <v>b</v>
      </c>
      <c r="B85" s="130" t="str">
        <f>B12&amp;""</f>
        <v>Interruptions-related quality of service</v>
      </c>
      <c r="C85" s="137" t="s">
        <v>128</v>
      </c>
      <c r="D85" s="640">
        <v>9.8439726433539594</v>
      </c>
      <c r="E85" s="641">
        <v>16.964153932804653</v>
      </c>
      <c r="F85" s="641">
        <v>15.393619077646294</v>
      </c>
      <c r="G85" s="641">
        <v>14.696766019054465</v>
      </c>
      <c r="H85" s="619">
        <v>12.418867346408305</v>
      </c>
      <c r="I85" s="619">
        <v>12.842987855333407</v>
      </c>
      <c r="J85" s="619">
        <v>17.874730300494271</v>
      </c>
      <c r="K85" s="619">
        <v>17.142556020136084</v>
      </c>
    </row>
    <row r="86" spans="1:12" s="2" customFormat="1">
      <c r="A86" s="3"/>
      <c r="B86" s="130"/>
      <c r="C86" s="137"/>
      <c r="D86" s="137"/>
      <c r="E86" s="137"/>
      <c r="F86" s="137"/>
      <c r="G86" s="137"/>
      <c r="H86" s="137"/>
      <c r="I86" s="137"/>
      <c r="J86" s="137"/>
      <c r="K86" s="137"/>
      <c r="L86" s="137"/>
    </row>
    <row r="87" spans="1:12" s="2" customFormat="1">
      <c r="A87" s="3"/>
      <c r="B87" s="130"/>
      <c r="C87" s="543" t="s">
        <v>383</v>
      </c>
      <c r="D87" s="546" t="str">
        <f t="shared" ref="D87:K87" si="29">IF($C58=$B$33,D$6,IF(D$6-RIGHT($C58,1)&lt;$D$6,"Pre-RIIO",D$6-RIGHT($C58,1)))</f>
        <v>Pre-RIIO</v>
      </c>
      <c r="E87" s="547" t="str">
        <f t="shared" si="29"/>
        <v>Pre-RIIO</v>
      </c>
      <c r="F87" s="547" t="str">
        <f t="shared" si="29"/>
        <v>Pre-RIIO</v>
      </c>
      <c r="G87" s="547">
        <f t="shared" si="29"/>
        <v>2016</v>
      </c>
      <c r="H87" s="547">
        <f t="shared" si="29"/>
        <v>2017</v>
      </c>
      <c r="I87" s="547">
        <f t="shared" si="29"/>
        <v>2018</v>
      </c>
      <c r="J87" s="547">
        <f t="shared" si="29"/>
        <v>2019</v>
      </c>
      <c r="K87" s="548">
        <f t="shared" si="29"/>
        <v>2020</v>
      </c>
    </row>
    <row r="88" spans="1:12" s="2" customFormat="1">
      <c r="A88" s="3" t="str">
        <f>A13</f>
        <v>c</v>
      </c>
      <c r="B88" s="130" t="str">
        <f>B13&amp;""</f>
        <v>Incentive on connections engagement</v>
      </c>
      <c r="C88" s="137" t="s">
        <v>128</v>
      </c>
      <c r="D88" s="640">
        <v>0</v>
      </c>
      <c r="E88" s="641">
        <v>0</v>
      </c>
      <c r="F88" s="641">
        <v>0</v>
      </c>
      <c r="G88" s="641">
        <v>0</v>
      </c>
      <c r="H88" s="619">
        <v>0</v>
      </c>
      <c r="I88" s="619">
        <v>0</v>
      </c>
      <c r="J88" s="619">
        <v>0</v>
      </c>
      <c r="K88" s="619">
        <v>0</v>
      </c>
    </row>
    <row r="89" spans="1:12" s="2" customFormat="1">
      <c r="A89" s="3"/>
      <c r="B89" s="130"/>
      <c r="C89" s="137"/>
      <c r="D89" s="137"/>
      <c r="E89" s="137"/>
      <c r="F89" s="137"/>
      <c r="G89" s="137"/>
      <c r="H89" s="137"/>
      <c r="I89" s="137"/>
      <c r="J89" s="137"/>
      <c r="K89" s="137"/>
      <c r="L89" s="137"/>
    </row>
    <row r="90" spans="1:12" s="2" customFormat="1">
      <c r="A90" s="3"/>
      <c r="B90" s="130"/>
      <c r="C90" s="543" t="s">
        <v>383</v>
      </c>
      <c r="D90" s="546" t="str">
        <f t="shared" ref="D90:K90" si="30">IF($C62=$B$33,D$6,IF(D$6-RIGHT($C62,1)&lt;$D$6,"Pre-RIIO",D$6-RIGHT($C62,1)))</f>
        <v>Pre-RIIO</v>
      </c>
      <c r="E90" s="547" t="str">
        <f t="shared" si="30"/>
        <v>Pre-RIIO</v>
      </c>
      <c r="F90" s="547">
        <f t="shared" si="30"/>
        <v>2016</v>
      </c>
      <c r="G90" s="547">
        <f t="shared" si="30"/>
        <v>2017</v>
      </c>
      <c r="H90" s="547">
        <f t="shared" si="30"/>
        <v>2018</v>
      </c>
      <c r="I90" s="547">
        <f t="shared" si="30"/>
        <v>2019</v>
      </c>
      <c r="J90" s="547">
        <f t="shared" si="30"/>
        <v>2020</v>
      </c>
      <c r="K90" s="548">
        <f t="shared" si="30"/>
        <v>2021</v>
      </c>
    </row>
    <row r="91" spans="1:12" s="2" customFormat="1">
      <c r="A91" s="3" t="str">
        <f>A14</f>
        <v>d</v>
      </c>
      <c r="B91" s="130" t="str">
        <f>B14&amp;""</f>
        <v>Time to Connect Incentive</v>
      </c>
      <c r="C91" s="137" t="s">
        <v>128</v>
      </c>
      <c r="D91" s="640">
        <v>0</v>
      </c>
      <c r="E91" s="641">
        <v>0</v>
      </c>
      <c r="F91" s="641">
        <v>1.272380096045775</v>
      </c>
      <c r="G91" s="641">
        <v>1.2996440175743333</v>
      </c>
      <c r="H91" s="619">
        <v>1.348276693573107</v>
      </c>
      <c r="I91" s="619">
        <v>1.3620320850107284</v>
      </c>
      <c r="J91" s="619">
        <v>1.4174505287780219</v>
      </c>
      <c r="K91" s="619">
        <v>1.4326705362644323</v>
      </c>
    </row>
    <row r="92" spans="1:12" s="2" customFormat="1">
      <c r="A92" s="3"/>
      <c r="B92" s="130"/>
      <c r="C92" s="137"/>
      <c r="D92" s="137"/>
      <c r="E92" s="137"/>
      <c r="F92" s="137"/>
      <c r="G92" s="137"/>
      <c r="H92" s="137"/>
      <c r="I92" s="137"/>
      <c r="J92" s="137"/>
      <c r="K92" s="137"/>
      <c r="L92" s="137"/>
    </row>
    <row r="93" spans="1:12" s="2" customFormat="1">
      <c r="A93" s="3"/>
      <c r="B93" s="130"/>
      <c r="C93" s="543" t="s">
        <v>383</v>
      </c>
      <c r="D93" s="546" t="str">
        <f>IF($C66=$B$33,D$6,IF(D$6-RIGHT($C66,1)&lt;$D$6,"Pre-RIIO",D$6-RIGHT($C66,1)))</f>
        <v>Pre-RIIO</v>
      </c>
      <c r="E93" s="547">
        <f t="shared" ref="E93:K93" si="31">IF($C66=$B$33,E$6,IF(E$6-RIGHT($C66,1)&lt;$D$6,"Pre-RIIO",E$6-RIGHT($C66,1)))</f>
        <v>2016</v>
      </c>
      <c r="F93" s="547">
        <f t="shared" si="31"/>
        <v>2017</v>
      </c>
      <c r="G93" s="547">
        <f t="shared" si="31"/>
        <v>2018</v>
      </c>
      <c r="H93" s="547">
        <f t="shared" si="31"/>
        <v>2019</v>
      </c>
      <c r="I93" s="547">
        <f t="shared" si="31"/>
        <v>2020</v>
      </c>
      <c r="J93" s="547">
        <f t="shared" si="31"/>
        <v>2021</v>
      </c>
      <c r="K93" s="548">
        <f t="shared" si="31"/>
        <v>2022</v>
      </c>
    </row>
    <row r="94" spans="1:12" s="2" customFormat="1">
      <c r="A94" s="3" t="str">
        <f>A15</f>
        <v>e</v>
      </c>
      <c r="B94" s="130" t="str">
        <f>B15&amp;""</f>
        <v>Losses discretionary reward scheme</v>
      </c>
      <c r="C94" s="137" t="s">
        <v>128</v>
      </c>
      <c r="D94" s="640">
        <v>0</v>
      </c>
      <c r="E94" s="641">
        <v>0</v>
      </c>
      <c r="F94" s="641">
        <v>0.77909499999999998</v>
      </c>
      <c r="G94" s="641">
        <v>0</v>
      </c>
      <c r="H94" s="619">
        <v>0</v>
      </c>
      <c r="I94" s="619">
        <v>0</v>
      </c>
      <c r="J94" s="619">
        <v>0</v>
      </c>
      <c r="K94" s="619">
        <v>0</v>
      </c>
    </row>
    <row r="95" spans="1:12" s="2" customFormat="1">
      <c r="A95" s="3"/>
      <c r="B95" s="130"/>
      <c r="C95" s="137"/>
      <c r="D95" s="137"/>
      <c r="E95" s="137"/>
      <c r="F95" s="137"/>
      <c r="G95" s="137"/>
      <c r="H95" s="137"/>
      <c r="I95" s="137"/>
      <c r="J95" s="137"/>
      <c r="K95" s="137"/>
      <c r="L95" s="137"/>
    </row>
    <row r="96" spans="1:12" s="2" customFormat="1">
      <c r="A96" s="3"/>
      <c r="B96" s="130"/>
      <c r="C96" s="543" t="s">
        <v>383</v>
      </c>
      <c r="D96" s="546" t="str">
        <f>IF($C70=$B$33,D$6,IF(D$6-RIGHT($C70,1)&lt;$D$6,"Pre-RIIO",D$6-RIGHT($C70,1)))</f>
        <v>Pre-RIIO</v>
      </c>
      <c r="E96" s="546">
        <f t="shared" ref="E96:K96" si="32">IF($C70=$B$33,E$6,IF(E$6-RIGHT($C70,1)&lt;$D$6,"Pre-RIIO",E$6-RIGHT($C70,1)))</f>
        <v>2016</v>
      </c>
      <c r="F96" s="546">
        <f t="shared" si="32"/>
        <v>2017</v>
      </c>
      <c r="G96" s="546">
        <f t="shared" si="32"/>
        <v>2018</v>
      </c>
      <c r="H96" s="546">
        <f t="shared" si="32"/>
        <v>2019</v>
      </c>
      <c r="I96" s="546">
        <f t="shared" si="32"/>
        <v>2020</v>
      </c>
      <c r="J96" s="546">
        <f t="shared" si="32"/>
        <v>2021</v>
      </c>
      <c r="K96" s="546">
        <f t="shared" si="32"/>
        <v>2022</v>
      </c>
    </row>
    <row r="97" spans="1:13" s="2" customFormat="1">
      <c r="A97" s="3" t="str">
        <f>A16</f>
        <v>f</v>
      </c>
      <c r="B97" s="130" t="str">
        <f>B16&amp;""</f>
        <v/>
      </c>
      <c r="C97" s="137" t="s">
        <v>128</v>
      </c>
      <c r="D97" s="640">
        <v>0</v>
      </c>
      <c r="E97" s="641">
        <v>0</v>
      </c>
      <c r="F97" s="641">
        <v>0</v>
      </c>
      <c r="G97" s="641">
        <v>0</v>
      </c>
      <c r="H97" s="619">
        <v>0</v>
      </c>
      <c r="I97" s="619">
        <v>0</v>
      </c>
      <c r="J97" s="619">
        <v>0</v>
      </c>
      <c r="K97" s="619">
        <v>0</v>
      </c>
    </row>
    <row r="98" spans="1:13" s="2" customFormat="1">
      <c r="A98" s="3"/>
      <c r="B98" s="130"/>
      <c r="C98" s="137"/>
      <c r="D98" s="137"/>
      <c r="E98" s="137"/>
      <c r="F98" s="137"/>
      <c r="G98" s="137"/>
      <c r="H98" s="137"/>
      <c r="I98" s="137"/>
      <c r="J98" s="137"/>
      <c r="K98" s="137"/>
      <c r="L98" s="137"/>
    </row>
    <row r="99" spans="1:13" s="2" customFormat="1">
      <c r="A99" s="3"/>
      <c r="B99" s="130"/>
      <c r="C99" s="543" t="s">
        <v>383</v>
      </c>
      <c r="D99" s="546" t="str">
        <f>IF($C74=$B$33,D$6,IF(D$6-RIGHT($C74,1)&lt;$D$6,"Pre-RIIO",D$6-RIGHT($C74,1)))</f>
        <v>Pre-RIIO</v>
      </c>
      <c r="E99" s="546">
        <f t="shared" ref="E99:K99" si="33">IF($C74=$B$33,E$6,IF(E$6-RIGHT($C74,1)&lt;$D$6,"Pre-RIIO",E$6-RIGHT($C74,1)))</f>
        <v>2016</v>
      </c>
      <c r="F99" s="546">
        <f t="shared" si="33"/>
        <v>2017</v>
      </c>
      <c r="G99" s="546">
        <f t="shared" si="33"/>
        <v>2018</v>
      </c>
      <c r="H99" s="546">
        <f t="shared" si="33"/>
        <v>2019</v>
      </c>
      <c r="I99" s="546">
        <f t="shared" si="33"/>
        <v>2020</v>
      </c>
      <c r="J99" s="546">
        <f t="shared" si="33"/>
        <v>2021</v>
      </c>
      <c r="K99" s="546">
        <f t="shared" si="33"/>
        <v>2022</v>
      </c>
    </row>
    <row r="100" spans="1:13" s="2" customFormat="1">
      <c r="A100" s="3" t="str">
        <f>A17</f>
        <v>g</v>
      </c>
      <c r="B100" s="130" t="str">
        <f>B17&amp;""</f>
        <v/>
      </c>
      <c r="C100" s="137" t="s">
        <v>128</v>
      </c>
      <c r="D100" s="640">
        <v>0</v>
      </c>
      <c r="E100" s="641">
        <v>0</v>
      </c>
      <c r="F100" s="641">
        <v>0</v>
      </c>
      <c r="G100" s="641">
        <v>0</v>
      </c>
      <c r="H100" s="619">
        <v>0</v>
      </c>
      <c r="I100" s="619">
        <v>0</v>
      </c>
      <c r="J100" s="619">
        <v>0</v>
      </c>
      <c r="K100" s="619">
        <v>0</v>
      </c>
    </row>
    <row r="101" spans="1:13" s="2" customFormat="1">
      <c r="A101" s="3"/>
      <c r="B101" s="130"/>
      <c r="C101" s="137"/>
      <c r="D101" s="137"/>
      <c r="E101" s="137"/>
      <c r="F101" s="137"/>
      <c r="G101" s="137"/>
      <c r="H101" s="137"/>
      <c r="I101" s="137"/>
      <c r="J101" s="137"/>
      <c r="K101" s="137"/>
      <c r="L101" s="137"/>
      <c r="M101" s="137"/>
    </row>
    <row r="102" spans="1:13" s="2" customFormat="1">
      <c r="B102" s="12" t="s">
        <v>157</v>
      </c>
      <c r="C102" s="158" t="s">
        <v>128</v>
      </c>
      <c r="D102" s="612">
        <f>SUM(D82,D85,D88,D91,D94,D97,D100)</f>
        <v>8.3946523265849056</v>
      </c>
      <c r="E102" s="612">
        <f t="shared" ref="E102:K102" si="34">SUM(E82,E85,E88,E91,E94,E97,E100)</f>
        <v>15.816916746370953</v>
      </c>
      <c r="F102" s="612">
        <f t="shared" si="34"/>
        <v>17.225729169157102</v>
      </c>
      <c r="G102" s="612">
        <f t="shared" si="34"/>
        <v>16.717066034911376</v>
      </c>
      <c r="H102" s="613">
        <f>SUM(H82,H85,H88,H91,H94,H97,H100)</f>
        <v>15.831867129179622</v>
      </c>
      <c r="I102" s="613">
        <f t="shared" si="34"/>
        <v>17.006893008466822</v>
      </c>
      <c r="J102" s="613">
        <f t="shared" si="34"/>
        <v>22.896798161710866</v>
      </c>
      <c r="K102" s="613">
        <f t="shared" si="34"/>
        <v>22.409795098853333</v>
      </c>
    </row>
    <row r="103" spans="1:13" s="2" customFormat="1">
      <c r="C103" s="137"/>
    </row>
    <row r="104" spans="1:13" s="2" customFormat="1">
      <c r="A104" s="35"/>
      <c r="B104" s="12" t="s">
        <v>358</v>
      </c>
      <c r="C104" s="157"/>
      <c r="D104" s="157"/>
      <c r="E104" s="157"/>
      <c r="F104" s="157"/>
      <c r="G104" s="157"/>
      <c r="H104" s="157"/>
      <c r="I104" s="157"/>
      <c r="J104" s="157"/>
      <c r="K104" s="157"/>
      <c r="L104" s="157"/>
      <c r="M104" s="157"/>
    </row>
    <row r="105" spans="1:13" s="2" customFormat="1">
      <c r="A105" s="270" t="str">
        <f>A82</f>
        <v>a</v>
      </c>
      <c r="B105" s="993" t="s">
        <v>618</v>
      </c>
      <c r="C105" s="993"/>
      <c r="D105" s="993"/>
      <c r="E105" s="993"/>
      <c r="F105" s="993"/>
      <c r="G105" s="993"/>
      <c r="H105" s="993"/>
      <c r="I105" s="993"/>
      <c r="J105" s="993"/>
      <c r="K105" s="993"/>
      <c r="L105" s="993"/>
      <c r="M105" s="993"/>
    </row>
    <row r="106" spans="1:13" s="2" customFormat="1">
      <c r="A106" s="270" t="str">
        <f>A85</f>
        <v>b</v>
      </c>
      <c r="B106" s="993" t="s">
        <v>618</v>
      </c>
      <c r="C106" s="993"/>
      <c r="D106" s="993"/>
      <c r="E106" s="993"/>
      <c r="F106" s="993"/>
      <c r="G106" s="993"/>
      <c r="H106" s="993"/>
      <c r="I106" s="993"/>
      <c r="J106" s="993"/>
      <c r="K106" s="993"/>
      <c r="L106" s="993"/>
      <c r="M106" s="993"/>
    </row>
    <row r="107" spans="1:13" s="2" customFormat="1">
      <c r="A107" s="270" t="str">
        <f>A88</f>
        <v>c</v>
      </c>
      <c r="B107" s="993" t="s">
        <v>618</v>
      </c>
      <c r="C107" s="993"/>
      <c r="D107" s="993"/>
      <c r="E107" s="993"/>
      <c r="F107" s="993"/>
      <c r="G107" s="993"/>
      <c r="H107" s="993"/>
      <c r="I107" s="993"/>
      <c r="J107" s="993"/>
      <c r="K107" s="993"/>
      <c r="L107" s="993"/>
      <c r="M107" s="993"/>
    </row>
    <row r="108" spans="1:13" s="2" customFormat="1">
      <c r="A108" s="270" t="str">
        <f>A91</f>
        <v>d</v>
      </c>
      <c r="B108" s="993" t="s">
        <v>618</v>
      </c>
      <c r="C108" s="993"/>
      <c r="D108" s="993"/>
      <c r="E108" s="993"/>
      <c r="F108" s="993"/>
      <c r="G108" s="993"/>
      <c r="H108" s="993"/>
      <c r="I108" s="993"/>
      <c r="J108" s="993"/>
      <c r="K108" s="993"/>
      <c r="L108" s="993"/>
      <c r="M108" s="993"/>
    </row>
    <row r="109" spans="1:13" s="2" customFormat="1">
      <c r="A109" s="270" t="str">
        <f>A94</f>
        <v>e</v>
      </c>
      <c r="B109" s="993" t="s">
        <v>618</v>
      </c>
      <c r="C109" s="993"/>
      <c r="D109" s="993"/>
      <c r="E109" s="993"/>
      <c r="F109" s="993"/>
      <c r="G109" s="993"/>
      <c r="H109" s="993"/>
      <c r="I109" s="993"/>
      <c r="J109" s="993"/>
      <c r="K109" s="993"/>
      <c r="L109" s="993"/>
      <c r="M109" s="993"/>
    </row>
    <row r="110" spans="1:13" s="2" customFormat="1">
      <c r="A110" s="270" t="str">
        <f>A97</f>
        <v>f</v>
      </c>
      <c r="B110" s="993">
        <v>0</v>
      </c>
      <c r="C110" s="993"/>
      <c r="D110" s="993"/>
      <c r="E110" s="993"/>
      <c r="F110" s="993"/>
      <c r="G110" s="993"/>
      <c r="H110" s="993"/>
      <c r="I110" s="993"/>
      <c r="J110" s="993"/>
      <c r="K110" s="993"/>
      <c r="L110" s="993"/>
      <c r="M110" s="993"/>
    </row>
    <row r="111" spans="1:13" s="2" customFormat="1">
      <c r="A111" s="270" t="str">
        <f>A100</f>
        <v>g</v>
      </c>
      <c r="B111" s="993">
        <v>0</v>
      </c>
      <c r="C111" s="993"/>
      <c r="D111" s="993"/>
      <c r="E111" s="993"/>
      <c r="F111" s="993"/>
      <c r="G111" s="993"/>
      <c r="H111" s="993"/>
      <c r="I111" s="993"/>
      <c r="J111" s="993"/>
      <c r="K111" s="993"/>
      <c r="L111" s="993"/>
      <c r="M111" s="993"/>
    </row>
    <row r="112" spans="1:13" s="535" customFormat="1">
      <c r="A112" s="534"/>
      <c r="C112" s="536"/>
      <c r="D112" s="537"/>
      <c r="E112" s="537"/>
      <c r="F112" s="537"/>
      <c r="G112" s="537"/>
      <c r="H112" s="537"/>
      <c r="I112" s="537"/>
      <c r="J112" s="537"/>
      <c r="K112" s="537"/>
      <c r="L112" s="538"/>
      <c r="M112" s="538"/>
    </row>
    <row r="113" spans="1:14" s="535" customFormat="1">
      <c r="A113" s="534"/>
      <c r="C113" s="536"/>
      <c r="D113" s="536"/>
      <c r="E113" s="536"/>
      <c r="F113" s="536"/>
      <c r="G113" s="536"/>
      <c r="H113" s="536"/>
      <c r="I113" s="536"/>
      <c r="J113" s="536"/>
      <c r="K113" s="536"/>
      <c r="L113" s="536"/>
      <c r="M113" s="536"/>
    </row>
    <row r="114" spans="1:14" s="2" customFormat="1">
      <c r="A114" s="81"/>
      <c r="B114" s="81"/>
      <c r="C114" s="151"/>
      <c r="D114" s="81"/>
      <c r="E114" s="81"/>
      <c r="F114" s="81"/>
      <c r="G114" s="81"/>
      <c r="H114" s="81"/>
      <c r="I114" s="81"/>
      <c r="J114" s="81"/>
      <c r="K114" s="81"/>
      <c r="L114" s="81"/>
      <c r="M114" s="81"/>
      <c r="N114" s="81"/>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5" priority="31">
      <formula>AND(D$5="Actuals",E$5="Forecast")</formula>
    </cfRule>
  </conditionalFormatting>
  <conditionalFormatting sqref="D5:K5">
    <cfRule type="expression" dxfId="44"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E07DF6A9-1F8A-42F1-B6F2-291D3C4FB446}">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CC285FE4-1466-4BF7-8FA9-67F63A3D57B8}">
  <ds:schemaRefs>
    <ds:schemaRef ds:uri="http://schemas.microsoft.com/office/infopath/2007/PartnerControls"/>
    <ds:schemaRef ds:uri="http://purl.org/dc/terms/"/>
    <ds:schemaRef ds:uri="f35b5cbd-7b0b-4440-92cd-b510cab4ec67"/>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1b6b1d3-9b1c-419f-ba2e-fefc168d435a"/>
    <ds:schemaRef ds:uri="http://www.w3.org/XML/1998/namespace"/>
    <ds:schemaRef ds:uri="http://purl.org/dc/dcmitype/"/>
  </ds:schemaRefs>
</ds:datastoreItem>
</file>

<file path=customXml/itemProps4.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RFPR reporting pack template v2.1</dc:title>
  <dc:subject/>
  <dc:creator>Mick Watson</dc:creator>
  <cp:lastModifiedBy>Dave Ball</cp:lastModifiedBy>
  <cp:lastPrinted>2018-10-02T10:25:02Z</cp:lastPrinted>
  <dcterms:created xsi:type="dcterms:W3CDTF">2018-06-13T08:32:09Z</dcterms:created>
  <dcterms:modified xsi:type="dcterms:W3CDTF">2023-07-28T11:59:07Z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ies>
</file>