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8535" windowWidth="19320" windowHeight="433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7" r:id="rId9"/>
  </sheets>
  <calcPr calcId="125725"/>
</workbook>
</file>

<file path=xl/calcChain.xml><?xml version="1.0" encoding="utf-8"?>
<calcChain xmlns="http://schemas.openxmlformats.org/spreadsheetml/2006/main">
  <c r="F10" i="27"/>
  <c r="F12" s="1"/>
  <c r="F7" i="10" s="1"/>
  <c r="G10" i="27"/>
  <c r="G12" s="1"/>
  <c r="G7" i="10" s="1"/>
  <c r="H10" i="27"/>
  <c r="H12" s="1"/>
  <c r="H7" i="10" s="1"/>
  <c r="I10" i="27"/>
  <c r="I12" s="1"/>
  <c r="I7" i="10" s="1"/>
  <c r="J10" i="27"/>
  <c r="J12" s="1"/>
  <c r="J7" i="10" s="1"/>
  <c r="K10" i="27"/>
  <c r="K12" s="1"/>
  <c r="K7" i="10" s="1"/>
  <c r="L10" i="27"/>
  <c r="L12" s="1"/>
  <c r="L7" i="10" s="1"/>
  <c r="E10" i="27"/>
  <c r="E11" s="1"/>
  <c r="F11" s="1"/>
  <c r="G11" s="1"/>
  <c r="H11" s="1"/>
  <c r="I11" s="1"/>
  <c r="J11" s="1"/>
  <c r="K11" s="1"/>
  <c r="L11" s="1"/>
  <c r="L7" i="37"/>
  <c r="K7"/>
  <c r="E12" i="27" l="1"/>
  <c r="B7" i="32"/>
  <c r="G12" l="1"/>
  <c r="G13" i="31" s="1"/>
  <c r="K12" i="32"/>
  <c r="K13" i="31" s="1"/>
  <c r="F12" i="32"/>
  <c r="F13" i="31" s="1"/>
  <c r="J12" i="32"/>
  <c r="J13" i="31" s="1"/>
  <c r="H12" i="32"/>
  <c r="H13" i="31" s="1"/>
  <c r="L12" i="32"/>
  <c r="L13" i="31" s="1"/>
  <c r="I12" i="32"/>
  <c r="I13" i="31" s="1"/>
  <c r="E12" i="32"/>
  <c r="E13" i="31" s="1"/>
  <c r="B9" i="27"/>
  <c r="AX86" i="31"/>
  <c r="AY86"/>
  <c r="AZ86"/>
  <c r="BA86"/>
  <c r="BB86"/>
  <c r="BC86"/>
  <c r="BD86"/>
  <c r="G5" i="32"/>
  <c r="B9" s="1"/>
  <c r="B10" s="1"/>
  <c r="E7" i="10"/>
  <c r="K11" i="32" l="1"/>
  <c r="G11"/>
  <c r="J11"/>
  <c r="L11"/>
  <c r="H11"/>
  <c r="I11"/>
  <c r="M11"/>
  <c r="F11"/>
  <c r="AX87" i="31"/>
  <c r="G5" i="27" l="1"/>
  <c r="E29" i="10" l="1"/>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T26" s="1"/>
  <c r="AS18"/>
  <c r="AR18"/>
  <c r="AR26" s="1"/>
  <c r="AQ18"/>
  <c r="AP18"/>
  <c r="AP26" s="1"/>
  <c r="AO18"/>
  <c r="AN18"/>
  <c r="AN26" s="1"/>
  <c r="AM18"/>
  <c r="AL18"/>
  <c r="AL26" s="1"/>
  <c r="AK18"/>
  <c r="AJ18"/>
  <c r="AJ26" s="1"/>
  <c r="AI18"/>
  <c r="AH18"/>
  <c r="AH26" s="1"/>
  <c r="AG18"/>
  <c r="AF18"/>
  <c r="AF26" s="1"/>
  <c r="AE18"/>
  <c r="AD18"/>
  <c r="AD26" s="1"/>
  <c r="AC18"/>
  <c r="AB18"/>
  <c r="AB26" s="1"/>
  <c r="AA18"/>
  <c r="Z18"/>
  <c r="Z26" s="1"/>
  <c r="Y18"/>
  <c r="X18"/>
  <c r="X26" s="1"/>
  <c r="W18"/>
  <c r="V18"/>
  <c r="V26" s="1"/>
  <c r="U18"/>
  <c r="T18"/>
  <c r="T26" s="1"/>
  <c r="S18"/>
  <c r="R18"/>
  <c r="R26" s="1"/>
  <c r="Q18"/>
  <c r="P18"/>
  <c r="P26" s="1"/>
  <c r="O18"/>
  <c r="N18"/>
  <c r="N26" s="1"/>
  <c r="M18"/>
  <c r="L18"/>
  <c r="L26" s="1"/>
  <c r="K18"/>
  <c r="J18"/>
  <c r="J26" s="1"/>
  <c r="I18"/>
  <c r="H18"/>
  <c r="H26" s="1"/>
  <c r="G18"/>
  <c r="F18"/>
  <c r="F26" s="1"/>
  <c r="E18"/>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E26" i="31" l="1"/>
  <c r="I7" i="37"/>
  <c r="J7"/>
  <c r="E86" i="31"/>
  <c r="F29" i="10"/>
  <c r="E19"/>
  <c r="BC19"/>
  <c r="BA19"/>
  <c r="AY19"/>
  <c r="AW19"/>
  <c r="AU19"/>
  <c r="AS19"/>
  <c r="AQ19"/>
  <c r="AO19"/>
  <c r="AM19"/>
  <c r="AK19"/>
  <c r="AI19"/>
  <c r="AG19"/>
  <c r="AE19"/>
  <c r="AC19"/>
  <c r="AA19"/>
  <c r="Y19"/>
  <c r="W19"/>
  <c r="U19"/>
  <c r="S19"/>
  <c r="Q19"/>
  <c r="O19"/>
  <c r="M19"/>
  <c r="I19"/>
  <c r="G26" i="31"/>
  <c r="G28" s="1"/>
  <c r="G29" s="1"/>
  <c r="I26"/>
  <c r="I28" s="1"/>
  <c r="I29" s="1"/>
  <c r="K26"/>
  <c r="K28" s="1"/>
  <c r="K29" s="1"/>
  <c r="M26"/>
  <c r="M28" s="1"/>
  <c r="M29" s="1"/>
  <c r="O26"/>
  <c r="O28" s="1"/>
  <c r="O29" s="1"/>
  <c r="Q26"/>
  <c r="Q28" s="1"/>
  <c r="Q29" s="1"/>
  <c r="S26"/>
  <c r="S28" s="1"/>
  <c r="S29" s="1"/>
  <c r="U26"/>
  <c r="U28" s="1"/>
  <c r="U29" s="1"/>
  <c r="W26"/>
  <c r="W28" s="1"/>
  <c r="W29" s="1"/>
  <c r="AA26"/>
  <c r="AA28" s="1"/>
  <c r="AA29" s="1"/>
  <c r="AC26"/>
  <c r="AC28" s="1"/>
  <c r="AC29" s="1"/>
  <c r="AE26"/>
  <c r="AE28" s="1"/>
  <c r="AE29" s="1"/>
  <c r="AG26"/>
  <c r="AG28" s="1"/>
  <c r="AG29" s="1"/>
  <c r="AI26"/>
  <c r="AI28" s="1"/>
  <c r="AI29" s="1"/>
  <c r="AK26"/>
  <c r="AK28" s="1"/>
  <c r="AM26"/>
  <c r="AM28" s="1"/>
  <c r="AM29" s="1"/>
  <c r="AO26"/>
  <c r="AO28" s="1"/>
  <c r="AQ26"/>
  <c r="AQ28" s="1"/>
  <c r="AQ29" s="1"/>
  <c r="AS26"/>
  <c r="AS28" s="1"/>
  <c r="AU26"/>
  <c r="AU28" s="1"/>
  <c r="AU29" s="1"/>
  <c r="AW26"/>
  <c r="AW28" s="1"/>
  <c r="AQ12" i="20"/>
  <c r="BF12"/>
  <c r="BC87" i="31" s="1"/>
  <c r="BD12" i="20"/>
  <c r="BA87" i="31" s="1"/>
  <c r="D78" i="20"/>
  <c r="B31" s="1"/>
  <c r="BG12"/>
  <c r="BE12"/>
  <c r="BC12"/>
  <c r="BA12"/>
  <c r="AY12"/>
  <c r="AW12"/>
  <c r="AU12"/>
  <c r="AS12"/>
  <c r="BC30" i="10"/>
  <c r="BA30"/>
  <c r="BB12" i="20"/>
  <c r="AZ12"/>
  <c r="AX12"/>
  <c r="AV12"/>
  <c r="AT12"/>
  <c r="AR12"/>
  <c r="AY65" i="31"/>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AX65" i="31"/>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Y28" s="1"/>
  <c r="Y29" s="1"/>
  <c r="E28"/>
  <c r="E29" s="1"/>
  <c r="F28"/>
  <c r="F29" s="1"/>
  <c r="H28"/>
  <c r="H29" s="1"/>
  <c r="J28"/>
  <c r="J29" s="1"/>
  <c r="L28"/>
  <c r="L29" s="1"/>
  <c r="N28"/>
  <c r="N29" s="1"/>
  <c r="P28"/>
  <c r="P29" s="1"/>
  <c r="R28"/>
  <c r="R29" s="1"/>
  <c r="T28"/>
  <c r="T29" s="1"/>
  <c r="V28"/>
  <c r="V29" s="1"/>
  <c r="X28"/>
  <c r="X29" s="1"/>
  <c r="Z28"/>
  <c r="Z29" s="1"/>
  <c r="AB28"/>
  <c r="AB29" s="1"/>
  <c r="AD28"/>
  <c r="AD29" s="1"/>
  <c r="AF28"/>
  <c r="AF29" s="1"/>
  <c r="AH28"/>
  <c r="AH29" s="1"/>
  <c r="AJ28"/>
  <c r="AJ29" s="1"/>
  <c r="AL28"/>
  <c r="AL29" s="1"/>
  <c r="AN28"/>
  <c r="AN29" s="1"/>
  <c r="AP28"/>
  <c r="AP29" s="1"/>
  <c r="AR28"/>
  <c r="AR29" s="1"/>
  <c r="AT28"/>
  <c r="AT29" s="1"/>
  <c r="AV28"/>
  <c r="AV29" s="1"/>
  <c r="E87" l="1"/>
  <c r="A7" i="37"/>
  <c r="F86" i="31"/>
  <c r="E65"/>
  <c r="AY87"/>
  <c r="AY30" i="10"/>
  <c r="AZ30"/>
  <c r="AZ87" i="31"/>
  <c r="BD30" i="10"/>
  <c r="BD87" i="31"/>
  <c r="D35" i="20"/>
  <c r="D36" s="1"/>
  <c r="D37" s="1"/>
  <c r="D38" s="1"/>
  <c r="D39" s="1"/>
  <c r="D40" s="1"/>
  <c r="AX30" i="10"/>
  <c r="BB3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36"/>
  <c r="BB36"/>
  <c r="AZ36"/>
  <c r="AX36"/>
  <c r="AV36"/>
  <c r="AT36"/>
  <c r="AR36"/>
  <c r="AP36"/>
  <c r="AN36"/>
  <c r="AL36"/>
  <c r="AJ36"/>
  <c r="AH36"/>
  <c r="AF36"/>
  <c r="AD36"/>
  <c r="AB36"/>
  <c r="Z36"/>
  <c r="X36"/>
  <c r="V36"/>
  <c r="T36"/>
  <c r="R36"/>
  <c r="P36"/>
  <c r="N36"/>
  <c r="L36"/>
  <c r="BC36"/>
  <c r="BA36"/>
  <c r="AY36"/>
  <c r="AW36"/>
  <c r="AU36"/>
  <c r="AS36"/>
  <c r="AQ36"/>
  <c r="AO36"/>
  <c r="AM36"/>
  <c r="AK36"/>
  <c r="AI36"/>
  <c r="AG36"/>
  <c r="AE36"/>
  <c r="AC36"/>
  <c r="AA36"/>
  <c r="Y36"/>
  <c r="W36"/>
  <c r="U36"/>
  <c r="S36"/>
  <c r="Q36"/>
  <c r="O36"/>
  <c r="M36"/>
  <c r="BB34"/>
  <c r="AZ34"/>
  <c r="AX34"/>
  <c r="AV34"/>
  <c r="AT34"/>
  <c r="AR34"/>
  <c r="AP34"/>
  <c r="AN34"/>
  <c r="AL34"/>
  <c r="AJ34"/>
  <c r="AH34"/>
  <c r="AF34"/>
  <c r="AD34"/>
  <c r="AB34"/>
  <c r="Z34"/>
  <c r="X34"/>
  <c r="V34"/>
  <c r="T34"/>
  <c r="R34"/>
  <c r="P34"/>
  <c r="N34"/>
  <c r="L34"/>
  <c r="J34"/>
  <c r="BA34"/>
  <c r="AY34"/>
  <c r="AW34"/>
  <c r="AU34"/>
  <c r="AS34"/>
  <c r="AQ34"/>
  <c r="AO34"/>
  <c r="AM34"/>
  <c r="AK34"/>
  <c r="AI34"/>
  <c r="AG34"/>
  <c r="AE34"/>
  <c r="AC34"/>
  <c r="AA34"/>
  <c r="Y34"/>
  <c r="W34"/>
  <c r="U34"/>
  <c r="S34"/>
  <c r="Q34"/>
  <c r="O34"/>
  <c r="M34"/>
  <c r="K34"/>
  <c r="AZ32"/>
  <c r="AX32"/>
  <c r="AV32"/>
  <c r="AT32"/>
  <c r="AR32"/>
  <c r="AP32"/>
  <c r="AN32"/>
  <c r="AL32"/>
  <c r="AJ32"/>
  <c r="AH32"/>
  <c r="AF32"/>
  <c r="AD32"/>
  <c r="AB32"/>
  <c r="Z32"/>
  <c r="X32"/>
  <c r="V32"/>
  <c r="T32"/>
  <c r="R32"/>
  <c r="P32"/>
  <c r="N32"/>
  <c r="L32"/>
  <c r="J32"/>
  <c r="H32"/>
  <c r="AY32"/>
  <c r="AW32"/>
  <c r="AU32"/>
  <c r="AS32"/>
  <c r="AQ32"/>
  <c r="AO32"/>
  <c r="AM32"/>
  <c r="AK32"/>
  <c r="AI32"/>
  <c r="AG32"/>
  <c r="AE32"/>
  <c r="AC32"/>
  <c r="AA32"/>
  <c r="Y32"/>
  <c r="W32"/>
  <c r="U32"/>
  <c r="S32"/>
  <c r="Q32"/>
  <c r="O32"/>
  <c r="M32"/>
  <c r="K32"/>
  <c r="I32"/>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BD37"/>
  <c r="BB37"/>
  <c r="AZ37"/>
  <c r="AX37"/>
  <c r="AV37"/>
  <c r="AT37"/>
  <c r="AR37"/>
  <c r="AP37"/>
  <c r="AN37"/>
  <c r="AL37"/>
  <c r="AJ37"/>
  <c r="AH37"/>
  <c r="AF37"/>
  <c r="AD37"/>
  <c r="AB37"/>
  <c r="Z37"/>
  <c r="X37"/>
  <c r="V37"/>
  <c r="T37"/>
  <c r="R37"/>
  <c r="P37"/>
  <c r="N37"/>
  <c r="BC37"/>
  <c r="BA37"/>
  <c r="AY37"/>
  <c r="AW37"/>
  <c r="AU37"/>
  <c r="AS37"/>
  <c r="AQ37"/>
  <c r="AO37"/>
  <c r="AM37"/>
  <c r="AK37"/>
  <c r="AI37"/>
  <c r="AG37"/>
  <c r="AE37"/>
  <c r="AC37"/>
  <c r="AA37"/>
  <c r="Y37"/>
  <c r="W37"/>
  <c r="U37"/>
  <c r="S37"/>
  <c r="Q37"/>
  <c r="O37"/>
  <c r="M37"/>
  <c r="BB35"/>
  <c r="AZ35"/>
  <c r="AX35"/>
  <c r="AV35"/>
  <c r="AT35"/>
  <c r="AR35"/>
  <c r="AP35"/>
  <c r="AN35"/>
  <c r="AL35"/>
  <c r="AJ35"/>
  <c r="AH35"/>
  <c r="AF35"/>
  <c r="AD35"/>
  <c r="AB35"/>
  <c r="Z35"/>
  <c r="X35"/>
  <c r="V35"/>
  <c r="T35"/>
  <c r="R35"/>
  <c r="P35"/>
  <c r="N35"/>
  <c r="L35"/>
  <c r="BC35"/>
  <c r="BA35"/>
  <c r="AY35"/>
  <c r="AW35"/>
  <c r="AU35"/>
  <c r="AS35"/>
  <c r="AQ35"/>
  <c r="AO35"/>
  <c r="AM35"/>
  <c r="AK35"/>
  <c r="AI35"/>
  <c r="AG35"/>
  <c r="AE35"/>
  <c r="AC35"/>
  <c r="AA35"/>
  <c r="Y35"/>
  <c r="W35"/>
  <c r="U35"/>
  <c r="S35"/>
  <c r="Q35"/>
  <c r="O35"/>
  <c r="M35"/>
  <c r="K35"/>
  <c r="AZ33"/>
  <c r="AX33"/>
  <c r="AV33"/>
  <c r="AT33"/>
  <c r="AR33"/>
  <c r="AP33"/>
  <c r="AN33"/>
  <c r="AL33"/>
  <c r="AJ33"/>
  <c r="AH33"/>
  <c r="AF33"/>
  <c r="AD33"/>
  <c r="AB33"/>
  <c r="Z33"/>
  <c r="X33"/>
  <c r="V33"/>
  <c r="T33"/>
  <c r="R33"/>
  <c r="P33"/>
  <c r="N33"/>
  <c r="L33"/>
  <c r="J33"/>
  <c r="BA33"/>
  <c r="AY33"/>
  <c r="AW33"/>
  <c r="AU33"/>
  <c r="AS33"/>
  <c r="AQ33"/>
  <c r="AO33"/>
  <c r="AM33"/>
  <c r="AK33"/>
  <c r="AI33"/>
  <c r="AG33"/>
  <c r="AE33"/>
  <c r="AC33"/>
  <c r="AA33"/>
  <c r="Y33"/>
  <c r="W33"/>
  <c r="U33"/>
  <c r="S33"/>
  <c r="Q33"/>
  <c r="O33"/>
  <c r="M33"/>
  <c r="K33"/>
  <c r="I33"/>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AX13"/>
  <c r="AY13"/>
  <c r="AZ13"/>
  <c r="BA13"/>
  <c r="BB13"/>
  <c r="BC13"/>
  <c r="BD13"/>
  <c r="E13"/>
  <c r="F87" i="31" l="1"/>
  <c r="B7" i="37"/>
  <c r="G86" i="31"/>
  <c r="F65"/>
  <c r="G29" i="10"/>
  <c r="G13" s="1"/>
  <c r="H29"/>
  <c r="H13" s="1"/>
  <c r="BA60" i="31"/>
  <c r="BC60"/>
  <c r="AY60"/>
  <c r="D41" i="20"/>
  <c r="H12"/>
  <c r="G60" i="31"/>
  <c r="K60"/>
  <c r="O60"/>
  <c r="S60"/>
  <c r="W60"/>
  <c r="AA60"/>
  <c r="AE60"/>
  <c r="AI60"/>
  <c r="AM60"/>
  <c r="AQ60"/>
  <c r="AU60"/>
  <c r="J60"/>
  <c r="N60"/>
  <c r="R60"/>
  <c r="V60"/>
  <c r="Z60"/>
  <c r="AD60"/>
  <c r="AH60"/>
  <c r="AL60"/>
  <c r="AP60"/>
  <c r="AT60"/>
  <c r="AX60"/>
  <c r="AZ60"/>
  <c r="BB60"/>
  <c r="BD60"/>
  <c r="E63"/>
  <c r="E64" s="1"/>
  <c r="F61"/>
  <c r="I60"/>
  <c r="M60"/>
  <c r="Q60"/>
  <c r="U60"/>
  <c r="Y60"/>
  <c r="AC60"/>
  <c r="AG60"/>
  <c r="AK60"/>
  <c r="AO60"/>
  <c r="AS60"/>
  <c r="AW60"/>
  <c r="H60"/>
  <c r="L60"/>
  <c r="P60"/>
  <c r="T60"/>
  <c r="X60"/>
  <c r="AB60"/>
  <c r="AF60"/>
  <c r="AJ60"/>
  <c r="AN60"/>
  <c r="AR60"/>
  <c r="AV60"/>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G65" i="31" l="1"/>
  <c r="C7" i="37"/>
  <c r="G87" i="31"/>
  <c r="H86"/>
  <c r="I29" i="10"/>
  <c r="I13" s="1"/>
  <c r="D42" i="20"/>
  <c r="I12"/>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H87" i="31" l="1"/>
  <c r="D7" i="37"/>
  <c r="H65" i="31"/>
  <c r="I86"/>
  <c r="J29" i="10"/>
  <c r="J13" s="1"/>
  <c r="D43" i="20"/>
  <c r="J12"/>
  <c r="F30" i="10"/>
  <c r="F14" s="1"/>
  <c r="F66" i="3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I62"/>
  <c r="J61" s="1"/>
  <c r="F63"/>
  <c r="F64" s="1"/>
  <c r="H63"/>
  <c r="H64" s="1"/>
  <c r="G63"/>
  <c r="G64" s="1"/>
  <c r="I65" l="1"/>
  <c r="E7" i="37"/>
  <c r="I87" i="31"/>
  <c r="J86"/>
  <c r="K29" i="10"/>
  <c r="K13" s="1"/>
  <c r="AZ76" i="31"/>
  <c r="E76"/>
  <c r="BD76"/>
  <c r="BC76"/>
  <c r="D44" i="20"/>
  <c r="K12"/>
  <c r="G66" i="31"/>
  <c r="G76" s="1"/>
  <c r="G77" s="1"/>
  <c r="G80" s="1"/>
  <c r="G30" i="10"/>
  <c r="G14" s="1"/>
  <c r="F76" i="31"/>
  <c r="F77" s="1"/>
  <c r="F80" s="1"/>
  <c r="AX76"/>
  <c r="BB76"/>
  <c r="BA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J65" i="31" l="1"/>
  <c r="F7" i="37"/>
  <c r="E77" i="31"/>
  <c r="E80" s="1"/>
  <c r="E81" s="1"/>
  <c r="F81" s="1"/>
  <c r="G81" s="1"/>
  <c r="J87"/>
  <c r="K86"/>
  <c r="M11" i="27"/>
  <c r="L29" i="10"/>
  <c r="L13" s="1"/>
  <c r="D45" i="20"/>
  <c r="L12"/>
  <c r="H30" i="10"/>
  <c r="H14" s="1"/>
  <c r="H24" s="1"/>
  <c r="H66" i="31"/>
  <c r="H76" s="1"/>
  <c r="H77" s="1"/>
  <c r="H80" s="1"/>
  <c r="J63"/>
  <c r="J64" s="1"/>
  <c r="K62"/>
  <c r="L61" s="1"/>
  <c r="F24" i="10"/>
  <c r="G24"/>
  <c r="AX24"/>
  <c r="AY24"/>
  <c r="AZ24"/>
  <c r="BA24"/>
  <c r="BB24"/>
  <c r="BC24"/>
  <c r="BD24"/>
  <c r="E24"/>
  <c r="K65" i="31" l="1"/>
  <c r="G7" i="37"/>
  <c r="K87" i="31"/>
  <c r="L86"/>
  <c r="N11" i="27"/>
  <c r="M29" i="10"/>
  <c r="M13" s="1"/>
  <c r="H81" i="31"/>
  <c r="D46" i="20"/>
  <c r="M12"/>
  <c r="K63" i="31"/>
  <c r="K64" s="1"/>
  <c r="I66"/>
  <c r="I76" s="1"/>
  <c r="I30" i="10"/>
  <c r="I14" s="1"/>
  <c r="I24" s="1"/>
  <c r="L62" i="31"/>
  <c r="M61" s="1"/>
  <c r="L65" l="1"/>
  <c r="H7" i="37"/>
  <c r="I77" i="31"/>
  <c r="I80" s="1"/>
  <c r="I81" s="1"/>
  <c r="M86"/>
  <c r="M65" s="1"/>
  <c r="N11" i="32"/>
  <c r="L87" i="31"/>
  <c r="O11" i="27"/>
  <c r="N29" i="10"/>
  <c r="N13" s="1"/>
  <c r="D47" i="20"/>
  <c r="N12"/>
  <c r="J30" i="10"/>
  <c r="J14" s="1"/>
  <c r="J24" s="1"/>
  <c r="J66" i="31"/>
  <c r="J76" s="1"/>
  <c r="L63"/>
  <c r="L64" s="1"/>
  <c r="M62"/>
  <c r="N61" s="1"/>
  <c r="J77" l="1"/>
  <c r="J80" s="1"/>
  <c r="J81" s="1"/>
  <c r="N86"/>
  <c r="N87" s="1"/>
  <c r="O11" i="32"/>
  <c r="M87" i="31"/>
  <c r="P11" i="27"/>
  <c r="O29" i="10"/>
  <c r="O13" s="1"/>
  <c r="K66" i="31"/>
  <c r="K76" s="1"/>
  <c r="K77" s="1"/>
  <c r="K80" s="1"/>
  <c r="K30" i="10"/>
  <c r="K14" s="1"/>
  <c r="K24" s="1"/>
  <c r="D48" i="20"/>
  <c r="O12"/>
  <c r="M63" i="31"/>
  <c r="M64" s="1"/>
  <c r="N62"/>
  <c r="O61" s="1"/>
  <c r="N65" l="1"/>
  <c r="P11" i="32"/>
  <c r="O86" i="31"/>
  <c r="O65" s="1"/>
  <c r="Q11" i="27"/>
  <c r="P29" i="10"/>
  <c r="P13" s="1"/>
  <c r="K81" i="31"/>
  <c r="D49" i="20"/>
  <c r="P12"/>
  <c r="L30" i="10"/>
  <c r="L14" s="1"/>
  <c r="L24" s="1"/>
  <c r="L66" i="31"/>
  <c r="L76" s="1"/>
  <c r="O62"/>
  <c r="P61" s="1"/>
  <c r="N63"/>
  <c r="N64" s="1"/>
  <c r="L77" l="1"/>
  <c r="L80" s="1"/>
  <c r="L81" s="1"/>
  <c r="O7" i="37" s="1"/>
  <c r="M7"/>
  <c r="O87" i="31"/>
  <c r="Q11" i="32"/>
  <c r="P86" i="31"/>
  <c r="P87" s="1"/>
  <c r="R11" i="27"/>
  <c r="Q29" i="10"/>
  <c r="Q13" s="1"/>
  <c r="D50" i="20"/>
  <c r="Q12"/>
  <c r="M66" i="31"/>
  <c r="M76" s="1"/>
  <c r="M77" s="1"/>
  <c r="M80" s="1"/>
  <c r="M30" i="10"/>
  <c r="M14" s="1"/>
  <c r="M24" s="1"/>
  <c r="P62" i="31"/>
  <c r="Q61" s="1"/>
  <c r="O63"/>
  <c r="O64" s="1"/>
  <c r="P65" l="1"/>
  <c r="Q86"/>
  <c r="Q65" s="1"/>
  <c r="R11" i="32"/>
  <c r="S11" i="27"/>
  <c r="R29" i="10"/>
  <c r="R13" s="1"/>
  <c r="M81" i="31"/>
  <c r="R12" i="20"/>
  <c r="D51"/>
  <c r="N30" i="10"/>
  <c r="N14" s="1"/>
  <c r="N24" s="1"/>
  <c r="N66" i="31"/>
  <c r="N76" s="1"/>
  <c r="Q62"/>
  <c r="R61" s="1"/>
  <c r="P63"/>
  <c r="P64" s="1"/>
  <c r="N77" l="1"/>
  <c r="N80" s="1"/>
  <c r="N81" s="1"/>
  <c r="R86"/>
  <c r="R87" s="1"/>
  <c r="S11" i="32"/>
  <c r="Q87" i="31"/>
  <c r="T11" i="27"/>
  <c r="S29" i="10"/>
  <c r="S13" s="1"/>
  <c r="O66" i="31"/>
  <c r="O76" s="1"/>
  <c r="O77" s="1"/>
  <c r="O80" s="1"/>
  <c r="O30" i="10"/>
  <c r="O14" s="1"/>
  <c r="O24" s="1"/>
  <c r="D52" i="20"/>
  <c r="S12"/>
  <c r="R62" i="31"/>
  <c r="S61" s="1"/>
  <c r="Q63"/>
  <c r="Q64" s="1"/>
  <c r="R65" l="1"/>
  <c r="S86"/>
  <c r="S65" s="1"/>
  <c r="T11" i="32"/>
  <c r="U11" i="27"/>
  <c r="T29" i="10"/>
  <c r="T13" s="1"/>
  <c r="O81" i="31"/>
  <c r="P30" i="10"/>
  <c r="P14" s="1"/>
  <c r="P24" s="1"/>
  <c r="P66" i="31"/>
  <c r="P76" s="1"/>
  <c r="P77" s="1"/>
  <c r="P80" s="1"/>
  <c r="D53" i="20"/>
  <c r="T12"/>
  <c r="S62" i="31"/>
  <c r="T61" s="1"/>
  <c r="R63"/>
  <c r="R64" s="1"/>
  <c r="S87" l="1"/>
  <c r="U11" i="32"/>
  <c r="T86" i="31"/>
  <c r="T65" s="1"/>
  <c r="V11" i="27"/>
  <c r="U29" i="10"/>
  <c r="U13" s="1"/>
  <c r="P81" i="31"/>
  <c r="Q66"/>
  <c r="Q76" s="1"/>
  <c r="Q77" s="1"/>
  <c r="Q80" s="1"/>
  <c r="Q30" i="10"/>
  <c r="Q14" s="1"/>
  <c r="Q24" s="1"/>
  <c r="D54" i="20"/>
  <c r="U12"/>
  <c r="T62" i="31"/>
  <c r="U61" s="1"/>
  <c r="S63"/>
  <c r="S64" s="1"/>
  <c r="T87" l="1"/>
  <c r="U86"/>
  <c r="U65" s="1"/>
  <c r="V11" i="32"/>
  <c r="W11" i="27"/>
  <c r="V29" i="10"/>
  <c r="V13" s="1"/>
  <c r="Q81" i="31"/>
  <c r="R30" i="10"/>
  <c r="R14" s="1"/>
  <c r="R24" s="1"/>
  <c r="R66" i="31"/>
  <c r="R76" s="1"/>
  <c r="R77" s="1"/>
  <c r="R80" s="1"/>
  <c r="D55" i="20"/>
  <c r="V12"/>
  <c r="U62" i="31"/>
  <c r="V61" s="1"/>
  <c r="T63"/>
  <c r="T64" s="1"/>
  <c r="V86" l="1"/>
  <c r="V65" s="1"/>
  <c r="W11" i="32"/>
  <c r="U87" i="31"/>
  <c r="X11" i="27"/>
  <c r="W29" i="10"/>
  <c r="W13" s="1"/>
  <c r="R81" i="31"/>
  <c r="S66"/>
  <c r="S76" s="1"/>
  <c r="S77" s="1"/>
  <c r="S80" s="1"/>
  <c r="S30" i="10"/>
  <c r="S14" s="1"/>
  <c r="S24" s="1"/>
  <c r="D56" i="20"/>
  <c r="W12"/>
  <c r="V62" i="31"/>
  <c r="W61" s="1"/>
  <c r="U63"/>
  <c r="U64" s="1"/>
  <c r="V87" l="1"/>
  <c r="W86"/>
  <c r="W65" s="1"/>
  <c r="X11" i="32"/>
  <c r="Y11" i="27"/>
  <c r="X29" i="10"/>
  <c r="X13" s="1"/>
  <c r="S81" i="31"/>
  <c r="T30" i="10"/>
  <c r="T14" s="1"/>
  <c r="T24" s="1"/>
  <c r="T66" i="31"/>
  <c r="T76" s="1"/>
  <c r="T77" s="1"/>
  <c r="T80" s="1"/>
  <c r="D57" i="20"/>
  <c r="X12"/>
  <c r="W62" i="31"/>
  <c r="X61" s="1"/>
  <c r="V63"/>
  <c r="V64" s="1"/>
  <c r="W87" l="1"/>
  <c r="Y11" i="32"/>
  <c r="X86" i="31"/>
  <c r="X65" s="1"/>
  <c r="Z11" i="27"/>
  <c r="Y29" i="10"/>
  <c r="Y13" s="1"/>
  <c r="T81" i="31"/>
  <c r="U66"/>
  <c r="U76" s="1"/>
  <c r="U77" s="1"/>
  <c r="U80" s="1"/>
  <c r="U30" i="10"/>
  <c r="U14" s="1"/>
  <c r="U24" s="1"/>
  <c r="D58" i="20"/>
  <c r="Y12"/>
  <c r="X62" i="31"/>
  <c r="Y61" s="1"/>
  <c r="W63"/>
  <c r="W64" s="1"/>
  <c r="X87" l="1"/>
  <c r="Y86"/>
  <c r="Y65" s="1"/>
  <c r="Z11" i="32"/>
  <c r="AA11" i="27"/>
  <c r="Z29" i="10"/>
  <c r="Z13" s="1"/>
  <c r="U81" i="31"/>
  <c r="D59" i="20"/>
  <c r="Z12"/>
  <c r="V30" i="10"/>
  <c r="V14" s="1"/>
  <c r="V24" s="1"/>
  <c r="V66" i="31"/>
  <c r="V76" s="1"/>
  <c r="V77" s="1"/>
  <c r="V80" s="1"/>
  <c r="Y62"/>
  <c r="Z61" s="1"/>
  <c r="X63"/>
  <c r="X64" s="1"/>
  <c r="Y87" l="1"/>
  <c r="Z86"/>
  <c r="Z65" s="1"/>
  <c r="AA11" i="32"/>
  <c r="AB11" i="27"/>
  <c r="AA29" i="10"/>
  <c r="AA13" s="1"/>
  <c r="V81" i="31"/>
  <c r="D60" i="20"/>
  <c r="AA12"/>
  <c r="W66" i="31"/>
  <c r="W76" s="1"/>
  <c r="W77" s="1"/>
  <c r="W80" s="1"/>
  <c r="W30" i="10"/>
  <c r="W14" s="1"/>
  <c r="W24" s="1"/>
  <c r="Z62" i="31"/>
  <c r="AA61" s="1"/>
  <c r="Y63"/>
  <c r="Y64" s="1"/>
  <c r="Z87" l="1"/>
  <c r="AB11" i="32"/>
  <c r="AA86" i="31"/>
  <c r="AA87" s="1"/>
  <c r="AC11" i="27"/>
  <c r="AB29" i="10"/>
  <c r="AB13" s="1"/>
  <c r="W81" i="31"/>
  <c r="D61" i="20"/>
  <c r="AB12"/>
  <c r="X30" i="10"/>
  <c r="X14" s="1"/>
  <c r="X24" s="1"/>
  <c r="X66" i="31"/>
  <c r="X76" s="1"/>
  <c r="X77" s="1"/>
  <c r="X80" s="1"/>
  <c r="AA62"/>
  <c r="AB61" s="1"/>
  <c r="Z63"/>
  <c r="Z64" s="1"/>
  <c r="AA65" l="1"/>
  <c r="AB86"/>
  <c r="AB65" s="1"/>
  <c r="AC11" i="32"/>
  <c r="AD11" i="27"/>
  <c r="AC29" i="10"/>
  <c r="AC13" s="1"/>
  <c r="X81" i="31"/>
  <c r="D62" i="20"/>
  <c r="AC12"/>
  <c r="Y66" i="31"/>
  <c r="Y76" s="1"/>
  <c r="Y77" s="1"/>
  <c r="Y80" s="1"/>
  <c r="Y30" i="10"/>
  <c r="Y14" s="1"/>
  <c r="Y24" s="1"/>
  <c r="AB62" i="31"/>
  <c r="AC61" s="1"/>
  <c r="AA63"/>
  <c r="AA64" s="1"/>
  <c r="AB87" l="1"/>
  <c r="AC86"/>
  <c r="AC65" s="1"/>
  <c r="AD11" i="32"/>
  <c r="AE11" i="27"/>
  <c r="AD29" i="10"/>
  <c r="AD13" s="1"/>
  <c r="Y81" i="31"/>
  <c r="D63" i="20"/>
  <c r="AD12"/>
  <c r="Z30" i="10"/>
  <c r="Z14" s="1"/>
  <c r="Z24" s="1"/>
  <c r="Z66" i="31"/>
  <c r="Z76" s="1"/>
  <c r="Z77" s="1"/>
  <c r="Z80" s="1"/>
  <c r="AC62"/>
  <c r="AD61" s="1"/>
  <c r="AB63"/>
  <c r="AB64" s="1"/>
  <c r="AD86" l="1"/>
  <c r="AD65" s="1"/>
  <c r="AE11" i="32"/>
  <c r="AC87" i="31"/>
  <c r="Z81"/>
  <c r="AF11" i="27"/>
  <c r="AE29" i="10"/>
  <c r="AE13" s="1"/>
  <c r="D64" i="20"/>
  <c r="AE12"/>
  <c r="AA66" i="31"/>
  <c r="AA76" s="1"/>
  <c r="AA77" s="1"/>
  <c r="AA80" s="1"/>
  <c r="AA30" i="10"/>
  <c r="AA14" s="1"/>
  <c r="AA24" s="1"/>
  <c r="AC63" i="31"/>
  <c r="AC64" s="1"/>
  <c r="AD62"/>
  <c r="AE61" s="1"/>
  <c r="AE86" l="1"/>
  <c r="AE65" s="1"/>
  <c r="AF11" i="32"/>
  <c r="AD87" i="31"/>
  <c r="AA81"/>
  <c r="C4" s="1"/>
  <c r="G28" i="29" s="1"/>
  <c r="AG11" i="27"/>
  <c r="AF29" i="10"/>
  <c r="AF13" s="1"/>
  <c r="D65" i="20"/>
  <c r="AF12"/>
  <c r="AB30" i="10"/>
  <c r="AB14" s="1"/>
  <c r="AB24" s="1"/>
  <c r="AB66" i="31"/>
  <c r="AB76" s="1"/>
  <c r="AB77" s="1"/>
  <c r="AB80" s="1"/>
  <c r="AE62"/>
  <c r="AF61" s="1"/>
  <c r="AD63"/>
  <c r="AD64" s="1"/>
  <c r="AE87" l="1"/>
  <c r="AG11" i="32"/>
  <c r="AF86" i="31"/>
  <c r="AF87" s="1"/>
  <c r="AB81"/>
  <c r="AH11" i="27"/>
  <c r="AG29" i="10"/>
  <c r="AG13" s="1"/>
  <c r="D66" i="20"/>
  <c r="AG12"/>
  <c r="AC66" i="31"/>
  <c r="AC76" s="1"/>
  <c r="AC77" s="1"/>
  <c r="AC80" s="1"/>
  <c r="AC30" i="10"/>
  <c r="AC14" s="1"/>
  <c r="AC24" s="1"/>
  <c r="AF62" i="31"/>
  <c r="AG61" s="1"/>
  <c r="AE63"/>
  <c r="AE64" s="1"/>
  <c r="AF65" l="1"/>
  <c r="AG86"/>
  <c r="AG65" s="1"/>
  <c r="AH11" i="32"/>
  <c r="AC81" i="31"/>
  <c r="AI11" i="27"/>
  <c r="AH29" i="10"/>
  <c r="AH13" s="1"/>
  <c r="D67" i="20"/>
  <c r="AH12"/>
  <c r="AD30" i="10"/>
  <c r="AD14" s="1"/>
  <c r="AD24" s="1"/>
  <c r="AD66" i="31"/>
  <c r="AD76" s="1"/>
  <c r="AD77" s="1"/>
  <c r="AD80" s="1"/>
  <c r="AG62"/>
  <c r="AH61" s="1"/>
  <c r="AF63"/>
  <c r="AF64" s="1"/>
  <c r="AI11" i="32" l="1"/>
  <c r="AH86" i="31"/>
  <c r="AH65" s="1"/>
  <c r="AG87"/>
  <c r="AD81"/>
  <c r="AJ11" i="27"/>
  <c r="AI29" i="10"/>
  <c r="AI13" s="1"/>
  <c r="D68" i="20"/>
  <c r="AI12"/>
  <c r="AE66" i="31"/>
  <c r="AE76" s="1"/>
  <c r="AE77" s="1"/>
  <c r="AE80" s="1"/>
  <c r="AE30" i="10"/>
  <c r="AE14" s="1"/>
  <c r="AE24" s="1"/>
  <c r="AH62" i="31"/>
  <c r="AI61" s="1"/>
  <c r="AG63"/>
  <c r="AG64" s="1"/>
  <c r="AH87" l="1"/>
  <c r="AJ11" i="32"/>
  <c r="AI86" i="31"/>
  <c r="AI65" s="1"/>
  <c r="AE81"/>
  <c r="AK11" i="27"/>
  <c r="AJ29" i="10"/>
  <c r="AJ13" s="1"/>
  <c r="D69" i="20"/>
  <c r="AJ12"/>
  <c r="AF30" i="10"/>
  <c r="AF14" s="1"/>
  <c r="AF24" s="1"/>
  <c r="AF66" i="31"/>
  <c r="AF76" s="1"/>
  <c r="AF77" s="1"/>
  <c r="AF80" s="1"/>
  <c r="AI62"/>
  <c r="AJ61" s="1"/>
  <c r="AH63"/>
  <c r="AH64" s="1"/>
  <c r="AI87" l="1"/>
  <c r="AK11" i="32"/>
  <c r="AJ86" i="31"/>
  <c r="AJ87" s="1"/>
  <c r="AF81"/>
  <c r="AL11" i="27"/>
  <c r="AK29" i="10"/>
  <c r="AK13" s="1"/>
  <c r="D70" i="20"/>
  <c r="AK12"/>
  <c r="AG66" i="31"/>
  <c r="AG76" s="1"/>
  <c r="AG77" s="1"/>
  <c r="AG80" s="1"/>
  <c r="AG30" i="10"/>
  <c r="AG14" s="1"/>
  <c r="AG24" s="1"/>
  <c r="AJ62" i="31"/>
  <c r="AK61" s="1"/>
  <c r="AI63"/>
  <c r="AI64" s="1"/>
  <c r="AJ65" l="1"/>
  <c r="AL11" i="32"/>
  <c r="AK86" i="31"/>
  <c r="AK87" s="1"/>
  <c r="AG81"/>
  <c r="AM11" i="27"/>
  <c r="AL29" i="10"/>
  <c r="AL13" s="1"/>
  <c r="D71" i="20"/>
  <c r="AL12"/>
  <c r="AH30" i="10"/>
  <c r="AH14" s="1"/>
  <c r="AH24" s="1"/>
  <c r="AH66" i="31"/>
  <c r="AH76" s="1"/>
  <c r="AH77" s="1"/>
  <c r="AH80" s="1"/>
  <c r="AK62"/>
  <c r="AL61" s="1"/>
  <c r="AJ63"/>
  <c r="AJ64" s="1"/>
  <c r="AK65" l="1"/>
  <c r="AM11" i="32"/>
  <c r="AL86" i="31"/>
  <c r="AL65" s="1"/>
  <c r="AH81"/>
  <c r="AN11" i="27"/>
  <c r="AM29" i="10"/>
  <c r="D72" i="20"/>
  <c r="AM12"/>
  <c r="AI66" i="31"/>
  <c r="AI76" s="1"/>
  <c r="AI77" s="1"/>
  <c r="AI80" s="1"/>
  <c r="AI30" i="10"/>
  <c r="AI14" s="1"/>
  <c r="AI24" s="1"/>
  <c r="AK63" i="31"/>
  <c r="AK64" s="1"/>
  <c r="AL62"/>
  <c r="AM61" s="1"/>
  <c r="AL87" l="1"/>
  <c r="AN11" i="32"/>
  <c r="AM86" i="31"/>
  <c r="AM87" s="1"/>
  <c r="AM66" s="1"/>
  <c r="AI81"/>
  <c r="C5" s="1"/>
  <c r="H28" i="29" s="1"/>
  <c r="AO11" i="27"/>
  <c r="AN29" i="10"/>
  <c r="AM30"/>
  <c r="AM14" s="1"/>
  <c r="AM13"/>
  <c r="D73" i="20"/>
  <c r="AN12"/>
  <c r="AJ30" i="10"/>
  <c r="AJ14" s="1"/>
  <c r="AJ24" s="1"/>
  <c r="AJ66" i="31"/>
  <c r="AJ76" s="1"/>
  <c r="AJ77" s="1"/>
  <c r="AJ80" s="1"/>
  <c r="AM62"/>
  <c r="AN61" s="1"/>
  <c r="AL63"/>
  <c r="AL64" s="1"/>
  <c r="AJ81" l="1"/>
  <c r="AM65"/>
  <c r="AM76" s="1"/>
  <c r="AO11" i="32"/>
  <c r="AN86" i="31"/>
  <c r="AN65" s="1"/>
  <c r="AM24" i="10"/>
  <c r="AP11" i="27"/>
  <c r="AO29" i="10"/>
  <c r="AN30"/>
  <c r="AN14" s="1"/>
  <c r="AN13"/>
  <c r="D75" i="20"/>
  <c r="AO12"/>
  <c r="AK66" i="31"/>
  <c r="AK76" s="1"/>
  <c r="AK77" s="1"/>
  <c r="AK80" s="1"/>
  <c r="AK30" i="10"/>
  <c r="AK14" s="1"/>
  <c r="AK24" s="1"/>
  <c r="AN62" i="31"/>
  <c r="AO61" s="1"/>
  <c r="AM63"/>
  <c r="AM64" s="1"/>
  <c r="AK81" l="1"/>
  <c r="AN87"/>
  <c r="AN66" s="1"/>
  <c r="AN76" s="1"/>
  <c r="AP11" i="32"/>
  <c r="AO86" i="31"/>
  <c r="AO87" s="1"/>
  <c r="AO66" s="1"/>
  <c r="AM77"/>
  <c r="AM80" s="1"/>
  <c r="AQ11" i="27"/>
  <c r="AP29" i="10"/>
  <c r="AO30"/>
  <c r="AO14" s="1"/>
  <c r="AO13"/>
  <c r="AN24"/>
  <c r="AL30"/>
  <c r="AL14" s="1"/>
  <c r="AL24" s="1"/>
  <c r="AL66" i="31"/>
  <c r="AL76" s="1"/>
  <c r="AL77" s="1"/>
  <c r="AL80" s="1"/>
  <c r="AO62"/>
  <c r="AP61" s="1"/>
  <c r="AN63"/>
  <c r="AN64" s="1"/>
  <c r="AL81" l="1"/>
  <c r="AM81" s="1"/>
  <c r="AO65"/>
  <c r="AO76" s="1"/>
  <c r="AP86"/>
  <c r="AP87" s="1"/>
  <c r="AP66" s="1"/>
  <c r="AQ11" i="32"/>
  <c r="AR11" i="27"/>
  <c r="AQ29" i="10"/>
  <c r="AP30"/>
  <c r="AP14" s="1"/>
  <c r="AP13"/>
  <c r="AN77" i="31"/>
  <c r="AN80" s="1"/>
  <c r="AO24" i="10"/>
  <c r="AP62" i="31"/>
  <c r="AQ61" s="1"/>
  <c r="AO63"/>
  <c r="AO64" s="1"/>
  <c r="AP65" l="1"/>
  <c r="AP76" s="1"/>
  <c r="AQ86"/>
  <c r="AQ87" s="1"/>
  <c r="AQ66" s="1"/>
  <c r="AR11" i="32"/>
  <c r="AN81" i="31"/>
  <c r="AO77"/>
  <c r="AO80" s="1"/>
  <c r="AP24" i="10"/>
  <c r="AS11" i="27"/>
  <c r="AR29" i="10"/>
  <c r="AQ13"/>
  <c r="AQ30"/>
  <c r="AQ14" s="1"/>
  <c r="AQ62" i="31"/>
  <c r="AR61" s="1"/>
  <c r="AP63"/>
  <c r="AP64" s="1"/>
  <c r="AQ65" l="1"/>
  <c r="AQ76" s="1"/>
  <c r="AR86"/>
  <c r="AR65" s="1"/>
  <c r="AS11" i="32"/>
  <c r="AO81" i="31"/>
  <c r="AQ24" i="10"/>
  <c r="AP77" i="31"/>
  <c r="AP80" s="1"/>
  <c r="AT11" i="27"/>
  <c r="AS29" i="10"/>
  <c r="AR30"/>
  <c r="AR14" s="1"/>
  <c r="AR13"/>
  <c r="AR62" i="31"/>
  <c r="AS61" s="1"/>
  <c r="AQ63"/>
  <c r="AQ64" s="1"/>
  <c r="AR87" l="1"/>
  <c r="AR66" s="1"/>
  <c r="AR76" s="1"/>
  <c r="AS86"/>
  <c r="AS65" s="1"/>
  <c r="AT11" i="32"/>
  <c r="AP81" i="31"/>
  <c r="AQ77"/>
  <c r="AQ80" s="1"/>
  <c r="AR24" i="10"/>
  <c r="AS13"/>
  <c r="AS30"/>
  <c r="AS14" s="1"/>
  <c r="AU11" i="27"/>
  <c r="AT29" i="10"/>
  <c r="C6" i="31"/>
  <c r="I28" i="29" s="1"/>
  <c r="AS62" i="31"/>
  <c r="AT61" s="1"/>
  <c r="AR63"/>
  <c r="AR64" s="1"/>
  <c r="AS87" l="1"/>
  <c r="AS66" s="1"/>
  <c r="AS76" s="1"/>
  <c r="AT86"/>
  <c r="AT87" s="1"/>
  <c r="AT66" s="1"/>
  <c r="AU11" i="32"/>
  <c r="AQ81" i="31"/>
  <c r="AS24" i="10"/>
  <c r="AR77" i="31"/>
  <c r="AR80" s="1"/>
  <c r="AV11" i="27"/>
  <c r="AU29" i="10"/>
  <c r="AT30"/>
  <c r="AT14" s="1"/>
  <c r="AT13"/>
  <c r="AS63" i="31"/>
  <c r="AS64" s="1"/>
  <c r="AT62"/>
  <c r="AU61" s="1"/>
  <c r="AT65" l="1"/>
  <c r="AT76" s="1"/>
  <c r="AU86"/>
  <c r="AU65" s="1"/>
  <c r="AV11" i="32"/>
  <c r="AR81" i="31"/>
  <c r="AT24" i="10"/>
  <c r="AW11" i="27"/>
  <c r="AW29" i="10" s="1"/>
  <c r="AV29"/>
  <c r="AU13"/>
  <c r="AU30"/>
  <c r="AU14" s="1"/>
  <c r="AS77" i="31"/>
  <c r="AS80" s="1"/>
  <c r="AU62"/>
  <c r="AV61" s="1"/>
  <c r="AT63"/>
  <c r="AT64" s="1"/>
  <c r="AV86" l="1"/>
  <c r="AV87" s="1"/>
  <c r="AV66" s="1"/>
  <c r="AW11" i="32"/>
  <c r="AW86" i="31" s="1"/>
  <c r="AW65" s="1"/>
  <c r="AU87"/>
  <c r="AU66" s="1"/>
  <c r="AU76" s="1"/>
  <c r="AS81"/>
  <c r="AT77"/>
  <c r="AT80" s="1"/>
  <c r="AU24" i="10"/>
  <c r="AW30"/>
  <c r="AW14" s="1"/>
  <c r="AW13"/>
  <c r="AV30"/>
  <c r="AV14" s="1"/>
  <c r="AV13"/>
  <c r="AV62" i="31"/>
  <c r="AW61" s="1"/>
  <c r="AU63"/>
  <c r="AU64" s="1"/>
  <c r="AW87" l="1"/>
  <c r="AW66" s="1"/>
  <c r="AW76" s="1"/>
  <c r="N7" i="37" s="1"/>
  <c r="AV65" i="31"/>
  <c r="AV76" s="1"/>
  <c r="AT81"/>
  <c r="AU77"/>
  <c r="AU80" s="1"/>
  <c r="AV24" i="10"/>
  <c r="AW24"/>
  <c r="AW62" i="31"/>
  <c r="AX61" s="1"/>
  <c r="AV63"/>
  <c r="AV64" s="1"/>
  <c r="AU81" l="1"/>
  <c r="AV77"/>
  <c r="AV80" s="1"/>
  <c r="AX62"/>
  <c r="AY61" s="1"/>
  <c r="AW63"/>
  <c r="AW64" s="1"/>
  <c r="AW77" s="1"/>
  <c r="AW80" s="1"/>
  <c r="AV81" l="1"/>
  <c r="AW81" s="1"/>
  <c r="P7" i="37" s="1"/>
  <c r="AY62" i="31"/>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<sst xmlns="http://schemas.openxmlformats.org/spreadsheetml/2006/main" count="627" uniqueCount="387">
  <si>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</si>
  <si>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</si>
  <si>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</si>
  <si>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</si>
  <si>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</si>
  <si>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</si>
  <si>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</si>
  <si>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</si>
  <si>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</si>
  <si>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</si>
  <si>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</si>
  <si>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</si>
  <si>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</si>
  <si>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</si>
  <si>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</si>
  <si>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</si>
  <si>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</si>
  <si>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</si>
  <si>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</si>
  <si>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</si>
  <si>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</si>
  <si>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</si>
  <si>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</si>
  <si>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</si>
  <si>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</si>
  <si>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</si>
  <si>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</si>
  <si>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</si>
  <si>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</si>
  <si>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</si>
  <si>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</si>
  <si>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</si>
  <si>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</si>
  <si>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</si>
  <si>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</si>
  <si>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</si>
  <si>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</si>
  <si>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</si>
  <si>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</si>
  <si>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</si>
  <si>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</si>
  <si>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</si>
  <si>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</si>
  <si>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</si>
  <si>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</si>
  <si>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</si>
  <si>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</si>
  <si>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</si>
  <si>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</si>
  <si>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</si>
  <si>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</si>
  <si>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</si>
  <si>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</si>
  <si>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</si>
  <si>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</si>
  <si>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</si>
  <si>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</si>
  <si>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</si>
  <si>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</si>
  <si>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</si>
  <si>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</si>
  <si>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</si>
  <si>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</si>
  <si>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</si>
  <si>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</si>
  <si>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</si>
  <si>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</si>
  <si>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</si>
  <si>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</si>
  <si>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</si>
  <si>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</si>
  <si>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</si>
  <si>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</si>
  <si>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</si>
  <si>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</si>
  <si>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</si>
  <si>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</si>
  <si>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</si>
  <si>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</si>
  <si>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</si>
  <si>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</si>
  <si>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</si>
  <si>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</si>
  <si>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</si>
  <si>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</si>
  <si>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</si>
  <si>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</si>
  <si>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</si>
  <si>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</si>
  <si>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</si>
  <si>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</si>
  <si>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</si>
  <si>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</si>
  <si>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</si>
  <si>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</si>
  <si>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</si>
  <si>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</si>
  <si>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</si>
  <si>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</si>
  <si>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</si>
  <si>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</si>
  <si>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</si>
  <si>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</si>
  <si>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</si>
  <si>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</si>
  <si>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</si>
  <si>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</si>
  <si>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</si>
  <si>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</si>
  <si>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</si>
  <si>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</si>
  <si>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</si>
  <si>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</si>
  <si>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</si>
  <si>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</si>
  <si>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</si>
  <si>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</si>
  <si>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</si>
  <si>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</si>
  <si>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</si>
  <si>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</si>
  <si>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</si>
  <si>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</si>
  <si>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</si>
  <si>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</si>
  <si>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</si>
  <si>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</si>
  <si>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</si>
  <si>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</si>
  <si>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</si>
  <si>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</si>
  <si>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</si>
  <si>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</si>
  <si>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</si>
  <si>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</si>
  <si>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</si>
  <si>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</si>
  <si>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</si>
  <si>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</si>
  <si>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</si>
  <si>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</si>
  <si>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</si>
  <si>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</si>
  <si>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</si>
  <si>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</si>
  <si>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</si>
  <si>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</si>
  <si>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</si>
  <si>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</si>
  <si>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</si>
  <si>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</si>
  <si>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</si>
  <si>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</si>
  <si>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</si>
  <si>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</si>
  <si>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</si>
  <si>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</si>
  <si>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</si>
  <si>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</si>
  <si>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</si>
  <si>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</si>
  <si>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</si>
  <si>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</si>
  <si>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</si>
  <si>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</si>
  <si>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</si>
  <si>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</si>
  <si>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</si>
  <si>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</si>
  <si>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</si>
  <si>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</si>
  <si>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</si>
  <si>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</si>
  <si>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</si>
  <si>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</si>
  <si>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</si>
  <si>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</si>
  <si>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</si>
  <si>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</si>
  <si>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</si>
  <si>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</si>
  <si>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</si>
  <si>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</si>
  <si>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</si>
  <si>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</si>
  <si>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</si>
  <si>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</si>
  <si>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</si>
  <si>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</si>
  <si>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</si>
  <si>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</si>
  <si>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</si>
  <si>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</si>
  <si>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</si>
  <si>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</si>
  <si>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</si>
  <si>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</si>
  <si>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</si>
  <si>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</si>
  <si>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</si>
  <si>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</si>
  <si>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</si>
  <si>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</si>
  <si>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</si>
  <si>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</si>
  <si>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</si>
  <si>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</si>
  <si>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</si>
  <si>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</si>
  <si>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</si>
  <si>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</si>
  <si>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</si>
  <si>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</si>
  <si>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</si>
  <si>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</si>
  <si>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</si>
  <si>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</si>
  <si>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</si>
  <si>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</si>
  <si>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</si>
  <si>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</si>
  <si>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</si>
  <si>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</si>
  <si>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</si>
  <si>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</si>
  <si>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</si>
  <si>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</si>
  <si>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</si>
  <si>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</si>
  <si>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</si>
  <si>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</si>
  <si>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</si>
  <si>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</si>
  <si>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</si>
  <si>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</si>
  <si>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</si>
  <si>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</si>
  <si>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</si>
  <si>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</si>
  <si>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</si>
  <si>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</si>
  <si>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</si>
  <si>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</si>
  <si>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</si>
  <si>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</si>
  <si>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</si>
  <si>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</si>
  <si>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</si>
  <si>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</si>
  <si>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</si>
  <si>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</si>
  <si>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</si>
  <si>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</si>
  <si>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</si>
  <si>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</si>
  <si>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</si>
  <si>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</si>
  <si>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</si>
  <si>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</si>
  <si>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</si>
  <si>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</si>
  <si>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</si>
  <si>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</si>
  <si>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</si>
  <si>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</si>
  <si>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</si>
  <si>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</si>
  <si>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</si>
  <si>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</si>
  <si>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</si>
  <si>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</si>
  <si>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</si>
  <si>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</si>
  <si>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</si>
  <si>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</si>
  <si>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</si>
  <si>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</si>
  <si>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</si>
  <si>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</si>
  <si>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</si>
  <si>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</si>
  <si>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</si>
  <si>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</si>
  <si>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</si>
  <si>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</si>
  <si>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</si>
  <si>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</si>
  <si>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</si>
  <si>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</si>
  <si>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</si>
  <si>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</si>
  <si>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</si>
  <si>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</si>
  <si>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</si>
  <si>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</si>
  <si>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</si>
  <si>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</si>
  <si>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</si>
  <si>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</si>
  <si>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</si>
  <si>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</si>
  <si>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</si>
  <si>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</si>
  <si>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</si>
  <si>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</si>
  <si>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</si>
  <si>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</si>
  <si>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</si>
  <si>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</si>
  <si>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</si>
  <si>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</si>
  <si>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</si>
  <si>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</si>
  <si>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</si>
  <si>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</si>
  <si>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</si>
  <si>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</si>
  <si>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</si>
  <si>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</si>
  <si>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</si>
  <si>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</si>
  <si>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</si>
  <si>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</si>
  <si>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</si>
  <si>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</si>
  <si>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</si>
  <si>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</si>
  <si>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</si>
  <si>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</si>
  <si>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</si>
  <si>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</si>
  <si>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</si>
  <si>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</si>
  <si>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</si>
  <si>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</si>
  <si>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</si>
  <si>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</si>
  <si>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</si>
  <si>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</si>
  <si>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</si>
  <si>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</si>
  <si>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</si>
  <si>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</si>
  <si>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</si>
  <si>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</si>
  <si>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</si>
  <si>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LLF =</t>
  </si>
  <si>
    <t xml:space="preserve">LF = </t>
  </si>
  <si>
    <t>A =</t>
  </si>
  <si>
    <r>
      <t>LLF= (AxLF)+(1-A)LF</t>
    </r>
    <r>
      <rPr>
        <vertAlign val="superscript"/>
        <sz val="11"/>
        <color theme="0"/>
        <rFont val="Calibri"/>
        <family val="2"/>
        <scheme val="minor"/>
      </rPr>
      <t>2</t>
    </r>
  </si>
  <si>
    <t>Losses Profile</t>
  </si>
  <si>
    <t>Year</t>
  </si>
  <si>
    <t>Losses Saving</t>
  </si>
  <si>
    <t>NLRE Replacement Volumes</t>
  </si>
  <si>
    <r>
      <t>Opportunistic install 300mm</t>
    </r>
    <r>
      <rPr>
        <vertAlign val="superscript"/>
        <sz val="10"/>
        <color theme="1"/>
        <rFont val="Gill Sans MT"/>
        <family val="2"/>
      </rPr>
      <t>2</t>
    </r>
    <r>
      <rPr>
        <sz val="10"/>
        <color theme="1"/>
        <rFont val="Gill Sans MT"/>
        <family val="2"/>
      </rPr>
      <t xml:space="preserve"> cable</t>
    </r>
  </si>
  <si>
    <t>Length Installed (km)</t>
  </si>
  <si>
    <t>Impedance (Ohms/km)</t>
  </si>
  <si>
    <t>185mm2 cable rated at 300A</t>
  </si>
  <si>
    <t>It is assumed that the cable is operating at rated current at peak demand and unity power factor</t>
  </si>
  <si>
    <t>Total Installed cost Cost (£,k)</t>
  </si>
  <si>
    <r>
      <t xml:space="preserve">Workings / assumptions used for costing </t>
    </r>
    <r>
      <rPr>
        <b/>
        <sz val="14"/>
        <color rgb="FF0070C0"/>
        <rFont val="Calibri"/>
        <family val="2"/>
        <scheme val="minor"/>
      </rPr>
      <t>Option 1</t>
    </r>
  </si>
  <si>
    <r>
      <t>To investigation the installation of 300mm</t>
    </r>
    <r>
      <rPr>
        <vertAlign val="superscript"/>
        <sz val="10"/>
        <color theme="1"/>
        <rFont val="Gill Sans MT"/>
        <family val="2"/>
      </rPr>
      <t>2</t>
    </r>
    <r>
      <rPr>
        <sz val="10"/>
        <color theme="1"/>
        <rFont val="Gill Sans MT"/>
        <family val="2"/>
      </rPr>
      <t xml:space="preserve"> HV cable versus 185mm</t>
    </r>
    <r>
      <rPr>
        <vertAlign val="superscript"/>
        <sz val="10"/>
        <color theme="1"/>
        <rFont val="Gill Sans MT"/>
        <family val="2"/>
      </rPr>
      <t>2</t>
    </r>
  </si>
  <si>
    <r>
      <t>Always install 300mm</t>
    </r>
    <r>
      <rPr>
        <b/>
        <vertAlign val="superscript"/>
        <sz val="10"/>
        <color theme="1"/>
        <rFont val="Gill Sans MT"/>
        <family val="2"/>
      </rPr>
      <t>2</t>
    </r>
    <r>
      <rPr>
        <b/>
        <sz val="10"/>
        <color theme="1"/>
        <rFont val="Gill Sans MT"/>
        <family val="2"/>
      </rPr>
      <t xml:space="preserve"> HV Cable</t>
    </r>
  </si>
  <si>
    <t>185mm2 HV Cable</t>
  </si>
  <si>
    <t>Total Losses (MWh)</t>
  </si>
  <si>
    <r>
      <t>300mm</t>
    </r>
    <r>
      <rPr>
        <vertAlign val="superscript"/>
        <sz val="11"/>
        <color theme="0"/>
        <rFont val="Calibri"/>
        <family val="2"/>
        <scheme val="minor"/>
      </rPr>
      <t>2</t>
    </r>
    <r>
      <rPr>
        <sz val="11"/>
        <color theme="0"/>
        <rFont val="Calibri"/>
        <family val="2"/>
        <scheme val="minor"/>
      </rPr>
      <t xml:space="preserve"> HV Cable</t>
    </r>
  </si>
  <si>
    <t>Total Annual Losses (MW)</t>
  </si>
  <si>
    <t>185mm2 cable rated at 305A</t>
  </si>
  <si>
    <t>Marginal price increase for 300mm2 cable (1km) is £7.8k with assumed 10% discount for one cable type.</t>
  </si>
  <si>
    <t>Unit Losses Saving</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</si>
  <si>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</si>
  <si>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</si>
  <si>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</si>
  <si>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</si>
  <si>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</si>
  <si>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</si>
  <si>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</si>
  <si>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</si>
  <si>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</si>
  <si>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</si>
  <si>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</si>
  <si>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</si>
  <si>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</si>
  <si>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r>
      <t>Install 185mm</t>
    </r>
    <r>
      <rPr>
        <vertAlign val="superscript"/>
        <sz val="10"/>
        <color theme="1"/>
        <rFont val="Gill Sans MT"/>
        <family val="2"/>
      </rPr>
      <t>2</t>
    </r>
    <r>
      <rPr>
        <sz val="10"/>
        <color theme="1"/>
        <rFont val="Gill Sans MT"/>
        <family val="2"/>
      </rPr>
      <t xml:space="preserve"> cable</t>
    </r>
  </si>
  <si>
    <r>
      <t>Install 300mm</t>
    </r>
    <r>
      <rPr>
        <vertAlign val="superscript"/>
        <sz val="10"/>
        <color theme="1"/>
        <rFont val="Gill Sans MT"/>
        <family val="2"/>
      </rPr>
      <t>2</t>
    </r>
    <r>
      <rPr>
        <sz val="10"/>
        <color theme="1"/>
        <rFont val="Gill Sans MT"/>
        <family val="2"/>
      </rPr>
      <t xml:space="preserve"> cable</t>
    </r>
  </si>
  <si>
    <t>Asset Replacement £,k</t>
  </si>
  <si>
    <t>Marginal Cost (£,k)</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</si>
</sst>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3">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b/>
      <vertAlign val="superscript"/>
      <sz val="10"/>
      <color theme="1"/>
      <name val="Gill Sans MT"/>
      <family val="2"/>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2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6" fillId="11" borderId="10" xfId="0" applyFont="1" applyFill="1" applyBorder="1"/>
    <xf numFmtId="0" fontId="36" fillId="11" borderId="13" xfId="0" applyFont="1" applyFill="1" applyBorder="1" applyAlignment="1">
      <alignment horizontal="right"/>
    </xf>
    <xf numFmtId="0" fontId="36" fillId="11" borderId="12" xfId="0" applyFont="1" applyFill="1" applyBorder="1" applyAlignment="1">
      <alignment horizontal="right"/>
    </xf>
    <xf numFmtId="0" fontId="36" fillId="11" borderId="26" xfId="0" applyFont="1" applyFill="1" applyBorder="1"/>
    <xf numFmtId="0" fontId="36" fillId="11" borderId="27" xfId="0" applyFont="1" applyFill="1" applyBorder="1" applyAlignment="1">
      <alignment horizontal="right"/>
    </xf>
    <xf numFmtId="0" fontId="0" fillId="0" borderId="28" xfId="0" applyBorder="1"/>
    <xf numFmtId="0" fontId="36"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6" fillId="11" borderId="7" xfId="0" applyFont="1" applyFill="1" applyBorder="1"/>
    <xf numFmtId="0" fontId="36" fillId="11" borderId="8" xfId="0" applyFont="1" applyFill="1" applyBorder="1"/>
    <xf numFmtId="0" fontId="36" fillId="11" borderId="9" xfId="0" applyFont="1" applyFill="1" applyBorder="1"/>
    <xf numFmtId="0" fontId="0" fillId="0" borderId="0" xfId="0" applyFill="1" applyBorder="1"/>
    <xf numFmtId="0" fontId="0" fillId="0" borderId="32" xfId="0" applyBorder="1" applyAlignment="1">
      <alignment horizontal="center"/>
    </xf>
    <xf numFmtId="0" fontId="0" fillId="0" borderId="29" xfId="0" applyFill="1" applyBorder="1"/>
    <xf numFmtId="0" fontId="0" fillId="0" borderId="33" xfId="0" applyBorder="1"/>
    <xf numFmtId="0" fontId="0" fillId="0" borderId="34" xfId="0" applyBorder="1"/>
    <xf numFmtId="175" fontId="0" fillId="0" borderId="3" xfId="0" applyNumberFormat="1" applyBorder="1"/>
    <xf numFmtId="175" fontId="0" fillId="0" borderId="0" xfId="0" applyNumberFormat="1"/>
    <xf numFmtId="0" fontId="39" fillId="12" borderId="0" xfId="9" applyFont="1" applyFill="1" applyBorder="1"/>
    <xf numFmtId="0" fontId="39" fillId="12" borderId="0" xfId="3" applyFont="1" applyFill="1" applyBorder="1" applyAlignment="1">
      <alignment vertical="top"/>
    </xf>
    <xf numFmtId="0" fontId="39" fillId="12" borderId="0" xfId="3" applyFont="1" applyFill="1" applyBorder="1" applyAlignment="1">
      <alignment vertical="top" wrapText="1"/>
    </xf>
    <xf numFmtId="0" fontId="40" fillId="12" borderId="31" xfId="3" applyFont="1" applyFill="1" applyBorder="1" applyAlignment="1">
      <alignment vertical="top" wrapText="1"/>
    </xf>
    <xf numFmtId="0" fontId="40" fillId="12" borderId="3" xfId="3" applyFont="1" applyFill="1" applyBorder="1" applyAlignment="1">
      <alignment vertical="top" wrapText="1"/>
    </xf>
    <xf numFmtId="0" fontId="40" fillId="12" borderId="32" xfId="3" applyFont="1" applyFill="1" applyBorder="1" applyAlignment="1">
      <alignment vertical="top" wrapText="1"/>
    </xf>
    <xf numFmtId="175" fontId="39" fillId="13" borderId="31" xfId="3" applyNumberFormat="1" applyFont="1" applyFill="1" applyBorder="1" applyAlignment="1">
      <alignment vertical="top" wrapText="1"/>
    </xf>
    <xf numFmtId="0" fontId="4" fillId="0" borderId="0" xfId="0" applyFont="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31" xfId="0" applyFont="1" applyFill="1" applyBorder="1" applyAlignment="1">
      <alignment horizontal="center" vertical="center"/>
    </xf>
    <xf numFmtId="0" fontId="36"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1" borderId="29" xfId="0" applyFont="1" applyFill="1" applyBorder="1" applyAlignment="1">
      <alignment horizontal="center" vertical="center"/>
    </xf>
    <xf numFmtId="0" fontId="36" fillId="11" borderId="30" xfId="0" applyFont="1" applyFill="1" applyBorder="1" applyAlignment="1">
      <alignment horizontal="center" vertical="center"/>
    </xf>
    <xf numFmtId="0" fontId="40" fillId="12" borderId="35" xfId="3" applyFont="1" applyFill="1" applyBorder="1" applyAlignment="1">
      <alignment horizontal="left" vertical="top" wrapText="1"/>
    </xf>
    <xf numFmtId="0" fontId="40" fillId="12" borderId="36" xfId="3" applyFont="1" applyFill="1" applyBorder="1" applyAlignment="1">
      <alignment horizontal="left" vertical="top" wrapText="1"/>
    </xf>
    <xf numFmtId="0" fontId="40" fillId="12" borderId="37" xfId="3" applyFont="1" applyFill="1" applyBorder="1" applyAlignment="1">
      <alignment horizontal="left" vertical="top" wrapText="1"/>
    </xf>
    <xf numFmtId="0" fontId="40" fillId="12" borderId="33" xfId="3" applyFont="1" applyFill="1" applyBorder="1" applyAlignment="1">
      <alignment horizontal="left" vertical="top" wrapText="1"/>
    </xf>
    <xf numFmtId="0" fontId="40" fillId="12" borderId="20" xfId="3" applyFont="1" applyFill="1" applyBorder="1" applyAlignment="1">
      <alignment horizontal="left" vertical="top" wrapText="1"/>
    </xf>
    <xf numFmtId="0" fontId="40" fillId="12" borderId="34"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E11"/>
  <sheetViews>
    <sheetView showGridLines="0" tabSelected="1" workbookViewId="0">
      <selection activeCell="C6" sqref="C6"/>
    </sheetView>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1:5">
      <c r="B2" s="100" t="s">
        <v>228</v>
      </c>
      <c r="C2" s="100" t="s">
        <v>236</v>
      </c>
      <c r="D2" s="100" t="s">
        <v>235</v>
      </c>
      <c r="E2" s="100" t="s">
        <v>229</v>
      </c>
    </row>
    <row r="3" spans="1:5" s="99" customFormat="1" ht="62.25" customHeight="1">
      <c r="B3" s="101" t="s">
        <v>230</v>
      </c>
      <c r="C3" s="101" t="s">
        <v>233</v>
      </c>
      <c r="D3" s="101"/>
      <c r="E3" s="102" t="s">
        <v>234</v>
      </c>
    </row>
    <row r="4" spans="1:5" s="99" customFormat="1" ht="62.25" customHeight="1">
      <c r="B4" s="101" t="s">
        <v>231</v>
      </c>
      <c r="C4" s="101" t="s">
        <v>237</v>
      </c>
      <c r="D4" s="103">
        <v>41352</v>
      </c>
      <c r="E4" s="101" t="s">
        <v>238</v>
      </c>
    </row>
    <row r="5" spans="1:5" s="99" customFormat="1" ht="84" customHeight="1">
      <c r="B5" s="101" t="s">
        <v>232</v>
      </c>
      <c r="C5" s="101" t="s">
        <v>243</v>
      </c>
      <c r="D5" s="103" t="s">
        <v>239</v>
      </c>
      <c r="E5" s="101" t="s">
        <v>240</v>
      </c>
    </row>
    <row r="6" spans="1:5" ht="111" customHeight="1">
      <c r="A6" s="129"/>
      <c r="B6" s="130" t="s">
        <v>241</v>
      </c>
      <c r="C6" s="130" t="s">
        <v>242</v>
      </c>
      <c r="D6" s="131">
        <v>41380</v>
      </c>
      <c r="E6" s="130" t="s">
        <v>312</v>
      </c>
    </row>
    <row r="7" spans="1:5" ht="21.75" customHeight="1">
      <c r="B7" s="133"/>
      <c r="C7" s="133"/>
      <c r="D7" s="134">
        <v>41393</v>
      </c>
      <c r="E7" s="133" t="s">
        <v>336</v>
      </c>
    </row>
    <row r="8" spans="1:5" ht="21.75" customHeight="1">
      <c r="D8" s="134">
        <v>41649</v>
      </c>
      <c r="E8" s="136" t="s">
        <v>337</v>
      </c>
    </row>
    <row r="9" spans="1:5" ht="21.75" customHeight="1">
      <c r="D9" s="134">
        <v>41649</v>
      </c>
      <c r="E9" s="133" t="s">
        <v>340</v>
      </c>
    </row>
    <row r="10" spans="1:5" ht="21.75" customHeight="1">
      <c r="D10" s="134">
        <v>41649</v>
      </c>
      <c r="E10" s="133" t="s">
        <v>341</v>
      </c>
    </row>
    <row r="11" spans="1:5">
      <c r="B11" s="132"/>
      <c r="C11" s="132"/>
      <c r="D11" s="132"/>
      <c r="E11" s="132"/>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heetViews>
  <sheetFormatPr defaultRowHeight="1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c r="B1" s="98" t="s">
        <v>77</v>
      </c>
    </row>
    <row r="2" spans="2:3">
      <c r="B2" s="25"/>
    </row>
    <row r="3" spans="2:3">
      <c r="B3" s="25"/>
    </row>
    <row r="4" spans="2:3">
      <c r="B4" s="88" t="s">
        <v>14</v>
      </c>
      <c r="C4" s="88" t="s">
        <v>26</v>
      </c>
    </row>
    <row r="5" spans="2:3" ht="45">
      <c r="B5" s="95" t="s">
        <v>38</v>
      </c>
      <c r="C5" s="31" t="s">
        <v>95</v>
      </c>
    </row>
    <row r="6" spans="2:3">
      <c r="B6" s="95" t="s">
        <v>217</v>
      </c>
      <c r="C6" s="31" t="s">
        <v>218</v>
      </c>
    </row>
    <row r="7" spans="2:3" ht="56.25" customHeight="1">
      <c r="B7" s="96" t="s">
        <v>301</v>
      </c>
      <c r="C7" s="31" t="s">
        <v>335</v>
      </c>
    </row>
    <row r="8" spans="2:3">
      <c r="B8" s="97" t="s">
        <v>302</v>
      </c>
      <c r="C8" s="31" t="s">
        <v>303</v>
      </c>
    </row>
    <row r="9" spans="2:3" ht="30">
      <c r="B9" s="96" t="s">
        <v>224</v>
      </c>
      <c r="C9" s="31" t="s">
        <v>334</v>
      </c>
    </row>
    <row r="10" spans="2:3">
      <c r="B10" s="97" t="s">
        <v>215</v>
      </c>
      <c r="C10" s="31" t="s">
        <v>216</v>
      </c>
    </row>
    <row r="12" spans="2:3">
      <c r="B12" s="25" t="s">
        <v>24</v>
      </c>
    </row>
    <row r="13" spans="2:3">
      <c r="B13" s="92" t="s">
        <v>25</v>
      </c>
    </row>
    <row r="14" spans="2:3">
      <c r="B14" s="93" t="s">
        <v>217</v>
      </c>
    </row>
    <row r="15" spans="2:3">
      <c r="B15" s="87" t="s">
        <v>223</v>
      </c>
    </row>
    <row r="16" spans="2:3">
      <c r="B16" s="94" t="s">
        <v>219</v>
      </c>
    </row>
    <row r="17" spans="2:4">
      <c r="B17" s="25"/>
    </row>
    <row r="18" spans="2:4">
      <c r="B18" s="2" t="s">
        <v>64</v>
      </c>
    </row>
    <row r="19" spans="2:4" ht="19.5" customHeight="1">
      <c r="B19" s="2" t="s">
        <v>220</v>
      </c>
    </row>
    <row r="20" spans="2:4">
      <c r="B20" s="90" t="s">
        <v>225</v>
      </c>
    </row>
    <row r="21" spans="2:4">
      <c r="B21" s="90" t="s">
        <v>226</v>
      </c>
    </row>
    <row r="22" spans="2:4" ht="25.5" customHeight="1">
      <c r="B22" s="89" t="s">
        <v>97</v>
      </c>
    </row>
    <row r="23" spans="2:4" ht="10.5" customHeight="1"/>
    <row r="24" spans="2:4" ht="24.75" customHeight="1">
      <c r="B24" s="90" t="s">
        <v>221</v>
      </c>
      <c r="C24" s="90"/>
      <c r="D24" s="90"/>
    </row>
    <row r="25" spans="2:4" ht="26.25" customHeight="1">
      <c r="B25" s="90" t="s">
        <v>313</v>
      </c>
      <c r="C25" s="90"/>
      <c r="D25" s="90"/>
    </row>
    <row r="26" spans="2:4" ht="32.25" customHeight="1">
      <c r="B26" s="177" t="s">
        <v>222</v>
      </c>
      <c r="C26" s="177"/>
      <c r="D26" s="177"/>
    </row>
    <row r="28" spans="2:4">
      <c r="B28" s="2" t="s">
        <v>96</v>
      </c>
    </row>
    <row r="32" spans="2:4">
      <c r="B32" s="25"/>
    </row>
    <row r="33" spans="2:2">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70" zoomScaleNormal="70" workbookViewId="0">
      <pane ySplit="3" topLeftCell="A4" activePane="bottomLeft" state="frozen"/>
      <selection pane="bottomLeft"/>
    </sheetView>
  </sheetViews>
  <sheetFormatPr defaultRowHeight="15"/>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c r="B1" s="25" t="s">
        <v>339</v>
      </c>
      <c r="Z1" s="26" t="s">
        <v>29</v>
      </c>
    </row>
    <row r="2" spans="2:26" ht="15" customHeight="1">
      <c r="B2" s="187" t="s">
        <v>361</v>
      </c>
      <c r="C2" s="188"/>
      <c r="D2" s="188"/>
      <c r="E2" s="188"/>
      <c r="F2" s="189"/>
      <c r="Z2" s="26" t="s">
        <v>79</v>
      </c>
    </row>
    <row r="3" spans="2:26" ht="24.75" customHeight="1">
      <c r="B3" s="190"/>
      <c r="C3" s="191"/>
      <c r="D3" s="191"/>
      <c r="E3" s="191"/>
      <c r="F3" s="192"/>
    </row>
    <row r="4" spans="2:26" ht="18" customHeight="1">
      <c r="B4" s="25" t="s">
        <v>78</v>
      </c>
      <c r="C4" s="27"/>
      <c r="D4" s="27"/>
      <c r="E4" s="27"/>
      <c r="F4" s="27"/>
    </row>
    <row r="5" spans="2:26" ht="24.75" customHeight="1">
      <c r="B5" s="193"/>
      <c r="C5" s="194"/>
      <c r="D5" s="194"/>
      <c r="E5" s="194"/>
      <c r="F5" s="195"/>
    </row>
    <row r="6" spans="2:26" ht="13.5" customHeight="1">
      <c r="B6" s="27"/>
      <c r="C6" s="27"/>
      <c r="D6" s="27"/>
      <c r="E6" s="27"/>
      <c r="F6" s="27"/>
    </row>
    <row r="7" spans="2:26">
      <c r="B7" s="25" t="s">
        <v>48</v>
      </c>
      <c r="C7" s="138"/>
      <c r="D7" s="138"/>
      <c r="E7" s="138"/>
      <c r="F7" s="138"/>
    </row>
    <row r="8" spans="2:26">
      <c r="B8" s="180" t="s">
        <v>27</v>
      </c>
      <c r="C8" s="181"/>
      <c r="D8" s="178" t="s">
        <v>30</v>
      </c>
      <c r="E8" s="178"/>
      <c r="F8" s="178"/>
    </row>
    <row r="9" spans="2:26" ht="22.5" customHeight="1">
      <c r="B9" s="182" t="s">
        <v>301</v>
      </c>
      <c r="C9" s="183"/>
      <c r="D9" s="179" t="s">
        <v>383</v>
      </c>
      <c r="E9" s="179"/>
      <c r="F9" s="179"/>
    </row>
    <row r="10" spans="2:26" ht="22.5" customHeight="1">
      <c r="B10" s="184" t="s">
        <v>354</v>
      </c>
      <c r="C10" s="185"/>
      <c r="D10" s="179" t="s">
        <v>384</v>
      </c>
      <c r="E10" s="179"/>
      <c r="F10" s="179"/>
    </row>
    <row r="11" spans="2:26" ht="22.5" customHeight="1">
      <c r="B11" s="184"/>
      <c r="C11" s="185"/>
      <c r="D11" s="179"/>
      <c r="E11" s="179"/>
      <c r="F11" s="179"/>
    </row>
    <row r="12" spans="2:26" ht="22.5" customHeight="1">
      <c r="B12" s="184"/>
      <c r="C12" s="185"/>
      <c r="D12" s="179"/>
      <c r="E12" s="179"/>
      <c r="F12" s="179"/>
    </row>
    <row r="13" spans="2:26" ht="22.5" customHeight="1">
      <c r="B13" s="184"/>
      <c r="C13" s="185"/>
      <c r="D13" s="186"/>
      <c r="E13" s="186"/>
      <c r="F13" s="186"/>
    </row>
    <row r="14" spans="2:26" ht="22.5" customHeight="1">
      <c r="B14" s="184"/>
      <c r="C14" s="185"/>
      <c r="D14" s="186"/>
      <c r="E14" s="186"/>
      <c r="F14" s="186"/>
    </row>
    <row r="15" spans="2:26" ht="22.5" customHeight="1">
      <c r="B15" s="184"/>
      <c r="C15" s="185"/>
      <c r="D15" s="186" t="s">
        <v>344</v>
      </c>
      <c r="E15" s="186"/>
      <c r="F15" s="186"/>
    </row>
    <row r="16" spans="2:26" ht="22.5" customHeight="1">
      <c r="B16" s="184"/>
      <c r="C16" s="185"/>
      <c r="D16" s="186"/>
      <c r="E16" s="186"/>
      <c r="F16" s="186"/>
    </row>
    <row r="17" spans="2:11" ht="22.5" customHeight="1">
      <c r="B17" s="184"/>
      <c r="C17" s="185"/>
      <c r="D17" s="186"/>
      <c r="E17" s="186"/>
      <c r="F17" s="186"/>
    </row>
    <row r="18" spans="2:11" ht="22.5" customHeight="1">
      <c r="B18" s="184"/>
      <c r="C18" s="185"/>
      <c r="D18" s="186"/>
      <c r="E18" s="186"/>
      <c r="F18" s="186"/>
    </row>
    <row r="19" spans="2:11" ht="22.5" customHeight="1">
      <c r="B19" s="184"/>
      <c r="C19" s="185"/>
      <c r="D19" s="186"/>
      <c r="E19" s="186"/>
      <c r="F19" s="186"/>
    </row>
    <row r="20" spans="2:11" ht="22.5" customHeight="1">
      <c r="B20" s="184"/>
      <c r="C20" s="185"/>
      <c r="D20" s="186"/>
      <c r="E20" s="186"/>
      <c r="F20" s="186"/>
    </row>
    <row r="21" spans="2:11" ht="22.5" customHeight="1">
      <c r="B21" s="184"/>
      <c r="C21" s="185"/>
      <c r="D21" s="186"/>
      <c r="E21" s="186"/>
      <c r="F21" s="186"/>
    </row>
    <row r="22" spans="2:11" ht="22.5" customHeight="1">
      <c r="B22" s="184"/>
      <c r="C22" s="185"/>
      <c r="D22" s="186"/>
      <c r="E22" s="186"/>
      <c r="F22" s="186"/>
    </row>
    <row r="23" spans="2:11" ht="22.5" customHeight="1">
      <c r="B23" s="184"/>
      <c r="C23" s="185"/>
      <c r="D23" s="186"/>
      <c r="E23" s="186"/>
      <c r="F23" s="186"/>
    </row>
    <row r="24" spans="2:11" ht="12.75" customHeight="1">
      <c r="B24" s="28"/>
      <c r="C24" s="28"/>
      <c r="D24" s="29"/>
      <c r="E24" s="29"/>
      <c r="F24" s="29"/>
    </row>
    <row r="25" spans="2:11">
      <c r="B25" s="25" t="s">
        <v>49</v>
      </c>
      <c r="C25" s="138"/>
      <c r="D25" s="138"/>
      <c r="E25" s="138"/>
      <c r="F25" s="138"/>
    </row>
    <row r="26" spans="2:11" ht="38.25" customHeight="1">
      <c r="B26" s="197" t="s">
        <v>47</v>
      </c>
      <c r="C26" s="199" t="s">
        <v>27</v>
      </c>
      <c r="D26" s="199" t="s">
        <v>28</v>
      </c>
      <c r="E26" s="199" t="s">
        <v>30</v>
      </c>
      <c r="F26" s="197" t="s">
        <v>345</v>
      </c>
      <c r="G26" s="196" t="s">
        <v>99</v>
      </c>
      <c r="H26" s="196"/>
      <c r="I26" s="196"/>
      <c r="J26" s="196"/>
      <c r="K26" s="196"/>
    </row>
    <row r="27" spans="2:11" ht="36" customHeight="1">
      <c r="B27" s="198"/>
      <c r="C27" s="200"/>
      <c r="D27" s="200"/>
      <c r="E27" s="200"/>
      <c r="F27" s="198"/>
      <c r="G27" s="63" t="s">
        <v>100</v>
      </c>
      <c r="H27" s="63" t="s">
        <v>101</v>
      </c>
      <c r="I27" s="63" t="s">
        <v>102</v>
      </c>
      <c r="J27" s="63" t="s">
        <v>103</v>
      </c>
      <c r="K27" s="63" t="s">
        <v>104</v>
      </c>
    </row>
    <row r="28" spans="2:11" ht="27.75" customHeight="1">
      <c r="B28" s="30">
        <v>1</v>
      </c>
      <c r="C28" s="139" t="s">
        <v>354</v>
      </c>
      <c r="D28" s="30" t="s">
        <v>29</v>
      </c>
      <c r="E28" s="139"/>
      <c r="F28" s="30"/>
      <c r="G28" s="64">
        <f>'Option 1'!$C$4</f>
        <v>0.80019993585433646</v>
      </c>
      <c r="H28" s="64">
        <f>'Option 1'!$C$5</f>
        <v>1.3723100185661044</v>
      </c>
      <c r="I28" s="64">
        <f>'Option 1'!$C$6</f>
        <v>1.7871982901479899</v>
      </c>
      <c r="J28" s="64">
        <f>'Option 1'!C7</f>
        <v>2.2183113385673261</v>
      </c>
      <c r="K28" s="65"/>
    </row>
    <row r="29" spans="2:11" ht="27.75" customHeight="1">
      <c r="B29" s="30">
        <v>2</v>
      </c>
      <c r="C29" s="139"/>
      <c r="D29" s="30"/>
      <c r="E29" s="139"/>
      <c r="F29" s="30"/>
      <c r="G29" s="140"/>
      <c r="H29" s="140"/>
      <c r="I29" s="140"/>
      <c r="J29" s="140"/>
      <c r="K29" s="65"/>
    </row>
    <row r="30" spans="2:11" ht="27.75" customHeight="1">
      <c r="B30" s="30">
        <v>3</v>
      </c>
      <c r="C30" s="139"/>
      <c r="D30" s="30"/>
      <c r="E30" s="139"/>
      <c r="F30" s="30"/>
      <c r="G30" s="140"/>
      <c r="H30" s="140"/>
      <c r="I30" s="140"/>
      <c r="J30" s="140"/>
      <c r="K30" s="30"/>
    </row>
    <row r="31" spans="2:11" ht="27.75" customHeight="1">
      <c r="B31" s="30">
        <v>4</v>
      </c>
      <c r="C31" s="30"/>
      <c r="D31" s="30"/>
      <c r="E31" s="31"/>
      <c r="F31" s="30"/>
      <c r="G31" s="64"/>
      <c r="H31" s="64"/>
      <c r="I31" s="64"/>
      <c r="J31" s="64"/>
      <c r="K31" s="30"/>
    </row>
    <row r="32" spans="2:11" ht="27.75" customHeight="1">
      <c r="B32" s="30">
        <v>5</v>
      </c>
      <c r="C32" s="30"/>
      <c r="D32" s="30"/>
      <c r="E32" s="31"/>
      <c r="F32" s="30"/>
      <c r="G32" s="64"/>
      <c r="H32" s="64"/>
      <c r="I32" s="64"/>
      <c r="J32" s="64"/>
      <c r="K32" s="30"/>
    </row>
    <row r="37" spans="2:2">
      <c r="B37" s="2" t="s">
        <v>105</v>
      </c>
    </row>
  </sheetData>
  <sheetProtection password="CD26" sheet="1" objects="1" scenarios="1" selectLockedCells="1" selectUnlockedCells="1"/>
  <mergeCells count="4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D8:F8"/>
    <mergeCell ref="D9:F9"/>
    <mergeCell ref="D10:F10"/>
    <mergeCell ref="D11:F11"/>
    <mergeCell ref="B8:C8"/>
    <mergeCell ref="B9:C9"/>
    <mergeCell ref="B10:C10"/>
    <mergeCell ref="B11:C11"/>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30: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heetViews>
  <sheetFormatPr defaultRowHeight="1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7">
        <v>4.5199999999999997E-2</v>
      </c>
      <c r="D3" s="108" t="s">
        <v>294</v>
      </c>
      <c r="E3" s="21"/>
      <c r="F3" s="76"/>
      <c r="G3" s="126" t="s">
        <v>306</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c r="A4" s="21"/>
      <c r="B4" s="22" t="s">
        <v>9</v>
      </c>
      <c r="C4" s="23">
        <v>3.5000000000000003E-2</v>
      </c>
      <c r="D4" s="21"/>
      <c r="E4" s="21"/>
      <c r="F4" s="4" t="s">
        <v>310</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c r="A5" s="21"/>
      <c r="B5" s="22" t="s">
        <v>10</v>
      </c>
      <c r="C5" s="23">
        <v>0.03</v>
      </c>
      <c r="D5" s="21"/>
      <c r="E5" s="21"/>
      <c r="F5" s="50" t="s">
        <v>311</v>
      </c>
      <c r="G5" s="38"/>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c r="A6" s="21"/>
      <c r="B6" s="22" t="s">
        <v>65</v>
      </c>
      <c r="C6" s="23">
        <v>1.4999999999999999E-2</v>
      </c>
      <c r="D6" s="21"/>
      <c r="E6" s="21"/>
      <c r="F6" s="50" t="s">
        <v>202</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205</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203</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c r="A9" s="21"/>
      <c r="B9" s="21"/>
      <c r="C9" s="21"/>
      <c r="D9" s="21"/>
      <c r="E9" s="22"/>
      <c r="F9" s="50" t="s">
        <v>307</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c r="A10" s="21"/>
      <c r="B10" s="21"/>
      <c r="C10" s="21"/>
      <c r="D10" s="21"/>
      <c r="E10" s="21"/>
      <c r="F10" s="50" t="s">
        <v>308</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3" t="s">
        <v>70</v>
      </c>
      <c r="C11" s="21"/>
      <c r="D11" s="21"/>
      <c r="E11" s="21"/>
      <c r="F11" s="50"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c r="A12" s="21"/>
      <c r="B12" s="21" t="s">
        <v>71</v>
      </c>
      <c r="C12" s="21"/>
      <c r="D12" s="21"/>
      <c r="E12" s="21"/>
      <c r="F12" s="50" t="s">
        <v>309</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c r="A13" s="21"/>
      <c r="B13" s="201" t="s">
        <v>73</v>
      </c>
      <c r="C13" s="202"/>
      <c r="D13" s="125" t="s">
        <v>325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1"/>
      <c r="B14" s="203"/>
      <c r="C14" s="204"/>
      <c r="D14" s="42" t="s">
        <v>106</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1"/>
      <c r="B15" s="205" t="s">
        <v>326</v>
      </c>
      <c r="C15" s="41" t="s">
        <v>319</v>
      </c>
      <c r="D15" s="124">
        <v>1.3408686121386491</v>
      </c>
      <c r="E15" s="21"/>
      <c r="F15" s="69" t="s">
        <v>89</v>
      </c>
      <c r="G15" s="38"/>
      <c r="H15" s="38"/>
      <c r="I15" s="75" t="s">
        <v>153</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05"/>
      <c r="C16" s="41" t="s">
        <v>320</v>
      </c>
      <c r="D16" s="124">
        <v>1.3004251926654264</v>
      </c>
      <c r="E16" s="82"/>
      <c r="F16" s="70" t="s">
        <v>154</v>
      </c>
      <c r="G16" s="38"/>
      <c r="H16" s="38"/>
      <c r="I16" s="75" t="s">
        <v>327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05"/>
      <c r="C17" s="41" t="s">
        <v>321</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c r="A18" s="21"/>
      <c r="B18" s="205"/>
      <c r="C18" s="41" t="s">
        <v>322</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05"/>
      <c r="C19" s="41" t="s">
        <v>323</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c r="A20" s="21"/>
      <c r="B20" s="205"/>
      <c r="C20" s="41" t="s">
        <v>324</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c r="A21" s="21"/>
      <c r="B21" s="205"/>
      <c r="C21" s="41"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c r="A22" s="21"/>
      <c r="B22" s="205"/>
      <c r="C22" s="41"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c r="A23" s="21"/>
      <c r="B23" s="205"/>
      <c r="C23" s="41"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c r="A24" s="21"/>
      <c r="B24" s="205"/>
      <c r="C24" s="41"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4" t="s">
        <v>314</v>
      </c>
    </row>
    <row r="28" spans="1:59">
      <c r="B28" s="20" t="s">
        <v>247</v>
      </c>
      <c r="E28" s="73"/>
    </row>
    <row r="29" spans="1:59">
      <c r="B29" s="20" t="s">
        <v>248</v>
      </c>
    </row>
    <row r="31" spans="1:59">
      <c r="B31" s="20" t="str">
        <f>"Power sector emissions reduce by"&amp;" "&amp;ROUND($D$78,2)&amp;" g/kWh p.a. between now and 2030."</f>
        <v>Power sector emissions reduce by 14.5 g/kWh p.a. between now and 2030.</v>
      </c>
    </row>
    <row r="32" spans="1:59">
      <c r="B32" s="20" t="s">
        <v>249</v>
      </c>
      <c r="H32" s="72"/>
    </row>
    <row r="33" spans="2:5" ht="47.25" customHeight="1">
      <c r="D33" s="105" t="s">
        <v>290</v>
      </c>
    </row>
    <row r="34" spans="2:5">
      <c r="B34" s="110" t="s">
        <v>244</v>
      </c>
      <c r="C34" s="20" t="s">
        <v>250</v>
      </c>
      <c r="D34" s="20">
        <f>0.58982*1000</f>
        <v>589.82000000000005</v>
      </c>
      <c r="E34" s="20" t="s">
        <v>291</v>
      </c>
    </row>
    <row r="35" spans="2:5">
      <c r="B35" s="110" t="s">
        <v>245</v>
      </c>
      <c r="C35" s="20" t="s">
        <v>251</v>
      </c>
      <c r="D35" s="72">
        <f>D34-$D$78</f>
        <v>575.32450000000006</v>
      </c>
    </row>
    <row r="36" spans="2:5">
      <c r="B36" s="110" t="s">
        <v>246</v>
      </c>
      <c r="C36" s="20" t="s">
        <v>72</v>
      </c>
      <c r="D36" s="72">
        <f t="shared" ref="D36:D73" si="2">D35-$D$78</f>
        <v>560.82900000000006</v>
      </c>
    </row>
    <row r="37" spans="2:5">
      <c r="C37" s="20" t="s">
        <v>106</v>
      </c>
      <c r="D37" s="72">
        <f t="shared" si="2"/>
        <v>546.33350000000007</v>
      </c>
    </row>
    <row r="38" spans="2:5">
      <c r="C38" s="20" t="s">
        <v>252</v>
      </c>
      <c r="D38" s="72">
        <f t="shared" si="2"/>
        <v>531.83800000000008</v>
      </c>
    </row>
    <row r="39" spans="2:5">
      <c r="C39" s="20" t="s">
        <v>253</v>
      </c>
      <c r="D39" s="72">
        <f t="shared" si="2"/>
        <v>517.34250000000009</v>
      </c>
    </row>
    <row r="40" spans="2:5">
      <c r="C40" s="20" t="s">
        <v>254</v>
      </c>
      <c r="D40" s="72">
        <f t="shared" si="2"/>
        <v>502.84700000000009</v>
      </c>
    </row>
    <row r="41" spans="2:5">
      <c r="C41" s="20" t="s">
        <v>255</v>
      </c>
      <c r="D41" s="72">
        <f t="shared" si="2"/>
        <v>488.3515000000001</v>
      </c>
    </row>
    <row r="42" spans="2:5">
      <c r="C42" s="20" t="s">
        <v>256</v>
      </c>
      <c r="D42" s="72">
        <f t="shared" si="2"/>
        <v>473.85600000000011</v>
      </c>
    </row>
    <row r="43" spans="2:5">
      <c r="C43" s="20" t="s">
        <v>257</v>
      </c>
      <c r="D43" s="72">
        <f t="shared" si="2"/>
        <v>459.36050000000012</v>
      </c>
    </row>
    <row r="44" spans="2:5">
      <c r="C44" s="20" t="s">
        <v>258</v>
      </c>
      <c r="D44" s="72">
        <f t="shared" si="2"/>
        <v>444.86500000000012</v>
      </c>
    </row>
    <row r="45" spans="2:5">
      <c r="C45" s="20" t="s">
        <v>259</v>
      </c>
      <c r="D45" s="72">
        <f t="shared" si="2"/>
        <v>430.36950000000013</v>
      </c>
    </row>
    <row r="46" spans="2:5">
      <c r="C46" s="20" t="s">
        <v>260</v>
      </c>
      <c r="D46" s="72">
        <f t="shared" si="2"/>
        <v>415.87400000000014</v>
      </c>
    </row>
    <row r="47" spans="2:5">
      <c r="C47" s="20" t="s">
        <v>261</v>
      </c>
      <c r="D47" s="72">
        <f t="shared" si="2"/>
        <v>401.37850000000014</v>
      </c>
    </row>
    <row r="48" spans="2:5">
      <c r="C48" s="20" t="s">
        <v>262</v>
      </c>
      <c r="D48" s="72">
        <f t="shared" si="2"/>
        <v>386.88300000000015</v>
      </c>
    </row>
    <row r="49" spans="3:4">
      <c r="C49" s="20" t="s">
        <v>263</v>
      </c>
      <c r="D49" s="72">
        <f t="shared" si="2"/>
        <v>372.38750000000016</v>
      </c>
    </row>
    <row r="50" spans="3:4">
      <c r="C50" s="20" t="s">
        <v>264</v>
      </c>
      <c r="D50" s="72">
        <f t="shared" si="2"/>
        <v>357.89200000000017</v>
      </c>
    </row>
    <row r="51" spans="3:4">
      <c r="C51" s="20" t="s">
        <v>265</v>
      </c>
      <c r="D51" s="72">
        <f t="shared" si="2"/>
        <v>343.39650000000017</v>
      </c>
    </row>
    <row r="52" spans="3:4">
      <c r="C52" s="20" t="s">
        <v>266</v>
      </c>
      <c r="D52" s="72">
        <f t="shared" si="2"/>
        <v>328.90100000000018</v>
      </c>
    </row>
    <row r="53" spans="3:4">
      <c r="C53" s="20" t="s">
        <v>267</v>
      </c>
      <c r="D53" s="72">
        <f t="shared" si="2"/>
        <v>314.40550000000019</v>
      </c>
    </row>
    <row r="54" spans="3:4">
      <c r="C54" s="20" t="s">
        <v>268</v>
      </c>
      <c r="D54" s="72">
        <f t="shared" si="2"/>
        <v>299.9100000000002</v>
      </c>
    </row>
    <row r="55" spans="3:4">
      <c r="C55" s="20" t="s">
        <v>269</v>
      </c>
      <c r="D55" s="72">
        <f t="shared" si="2"/>
        <v>285.4145000000002</v>
      </c>
    </row>
    <row r="56" spans="3:4">
      <c r="C56" s="20" t="s">
        <v>270</v>
      </c>
      <c r="D56" s="72">
        <f t="shared" si="2"/>
        <v>270.91900000000021</v>
      </c>
    </row>
    <row r="57" spans="3:4">
      <c r="C57" s="20" t="s">
        <v>271</v>
      </c>
      <c r="D57" s="72">
        <f t="shared" si="2"/>
        <v>256.42350000000022</v>
      </c>
    </row>
    <row r="58" spans="3:4">
      <c r="C58" s="20" t="s">
        <v>272</v>
      </c>
      <c r="D58" s="72">
        <f t="shared" si="2"/>
        <v>241.92800000000022</v>
      </c>
    </row>
    <row r="59" spans="3:4">
      <c r="C59" s="20" t="s">
        <v>273</v>
      </c>
      <c r="D59" s="72">
        <f t="shared" si="2"/>
        <v>227.43250000000023</v>
      </c>
    </row>
    <row r="60" spans="3:4">
      <c r="C60" s="20" t="s">
        <v>274</v>
      </c>
      <c r="D60" s="72">
        <f t="shared" si="2"/>
        <v>212.93700000000024</v>
      </c>
    </row>
    <row r="61" spans="3:4">
      <c r="C61" s="20" t="s">
        <v>275</v>
      </c>
      <c r="D61" s="72">
        <f t="shared" si="2"/>
        <v>198.44150000000025</v>
      </c>
    </row>
    <row r="62" spans="3:4">
      <c r="C62" s="20" t="s">
        <v>276</v>
      </c>
      <c r="D62" s="72">
        <f t="shared" si="2"/>
        <v>183.94600000000025</v>
      </c>
    </row>
    <row r="63" spans="3:4">
      <c r="C63" s="20" t="s">
        <v>277</v>
      </c>
      <c r="D63" s="72">
        <f t="shared" si="2"/>
        <v>169.45050000000026</v>
      </c>
    </row>
    <row r="64" spans="3:4">
      <c r="C64" s="20" t="s">
        <v>278</v>
      </c>
      <c r="D64" s="72">
        <f t="shared" si="2"/>
        <v>154.95500000000027</v>
      </c>
    </row>
    <row r="65" spans="3:5">
      <c r="C65" s="20" t="s">
        <v>279</v>
      </c>
      <c r="D65" s="72">
        <f t="shared" si="2"/>
        <v>140.45950000000028</v>
      </c>
    </row>
    <row r="66" spans="3:5">
      <c r="C66" s="20" t="s">
        <v>280</v>
      </c>
      <c r="D66" s="72">
        <f t="shared" si="2"/>
        <v>125.96400000000027</v>
      </c>
    </row>
    <row r="67" spans="3:5">
      <c r="C67" s="20" t="s">
        <v>281</v>
      </c>
      <c r="D67" s="72">
        <f t="shared" si="2"/>
        <v>111.46850000000026</v>
      </c>
    </row>
    <row r="68" spans="3:5">
      <c r="C68" s="20" t="s">
        <v>282</v>
      </c>
      <c r="D68" s="72">
        <f t="shared" si="2"/>
        <v>96.973000000000255</v>
      </c>
    </row>
    <row r="69" spans="3:5">
      <c r="C69" s="20" t="s">
        <v>283</v>
      </c>
      <c r="D69" s="72">
        <f t="shared" si="2"/>
        <v>82.477500000000248</v>
      </c>
    </row>
    <row r="70" spans="3:5">
      <c r="C70" s="20" t="s">
        <v>284</v>
      </c>
      <c r="D70" s="72">
        <f t="shared" si="2"/>
        <v>67.982000000000241</v>
      </c>
    </row>
    <row r="71" spans="3:5">
      <c r="C71" s="20" t="s">
        <v>285</v>
      </c>
      <c r="D71" s="72">
        <f t="shared" si="2"/>
        <v>53.486500000000241</v>
      </c>
    </row>
    <row r="72" spans="3:5">
      <c r="C72" s="20" t="s">
        <v>286</v>
      </c>
      <c r="D72" s="72">
        <f t="shared" si="2"/>
        <v>38.991000000000241</v>
      </c>
    </row>
    <row r="73" spans="3:5">
      <c r="C73" s="20" t="s">
        <v>287</v>
      </c>
      <c r="D73" s="72">
        <f t="shared" si="2"/>
        <v>24.495500000000241</v>
      </c>
    </row>
    <row r="74" spans="3:5">
      <c r="C74" s="20" t="s">
        <v>288</v>
      </c>
      <c r="D74" s="72">
        <v>10</v>
      </c>
    </row>
    <row r="75" spans="3:5">
      <c r="C75" s="20" t="s">
        <v>289</v>
      </c>
      <c r="D75" s="72">
        <f>D73-D78</f>
        <v>10.00000000000024</v>
      </c>
      <c r="E75" s="20" t="s">
        <v>292</v>
      </c>
    </row>
    <row r="78" spans="3:5">
      <c r="D78" s="106">
        <f>(D34-D74)/40</f>
        <v>14.495500000000002</v>
      </c>
      <c r="E78" s="20" t="s">
        <v>293</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342</v>
      </c>
      <c r="C1" s="3" t="s">
        <v>300</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10" t="s">
        <v>11</v>
      </c>
      <c r="B7" s="60" t="s">
        <v>173</v>
      </c>
      <c r="C7" s="59"/>
      <c r="D7" s="60" t="s">
        <v>39</v>
      </c>
      <c r="E7" s="61">
        <f>-1*'Workings baseline'!E12/1000</f>
        <v>-9.3857509300000004</v>
      </c>
      <c r="F7" s="61">
        <f>-1*'Workings baseline'!F12/1000</f>
        <v>-8.3344750800000007</v>
      </c>
      <c r="G7" s="61">
        <f>-1*'Workings baseline'!G12/1000</f>
        <v>0</v>
      </c>
      <c r="H7" s="61">
        <f>-1*'Workings baseline'!H12/1000</f>
        <v>0</v>
      </c>
      <c r="I7" s="61">
        <f>-1*'Workings baseline'!I12/1000</f>
        <v>0</v>
      </c>
      <c r="J7" s="61">
        <f>-1*'Workings baseline'!J12/1000</f>
        <v>0</v>
      </c>
      <c r="K7" s="61">
        <f>-1*'Workings baseline'!K12/1000</f>
        <v>0</v>
      </c>
      <c r="L7" s="61">
        <f>-1*'Workings baseline'!L12/1000</f>
        <v>0</v>
      </c>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c r="A8" s="211"/>
      <c r="B8" s="60" t="s">
        <v>158</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c r="A9" s="211"/>
      <c r="B9" s="60" t="s">
        <v>195</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c r="A10" s="211"/>
      <c r="B10" s="60" t="s">
        <v>195</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c r="A11" s="211"/>
      <c r="B11" s="60" t="s">
        <v>195</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c r="A12" s="212"/>
      <c r="B12" s="122" t="s">
        <v>194</v>
      </c>
      <c r="C12" s="57"/>
      <c r="D12" s="123" t="s">
        <v>39</v>
      </c>
      <c r="E12" s="58">
        <f>SUM(E7:E11)</f>
        <v>-9.3857509300000004</v>
      </c>
      <c r="F12" s="58">
        <f t="shared" ref="F12:AW12" si="0">SUM(F7:F11)</f>
        <v>-8.3344750800000007</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06" t="s">
        <v>305</v>
      </c>
      <c r="B13" s="9" t="s">
        <v>35</v>
      </c>
      <c r="D13" s="4" t="s">
        <v>39</v>
      </c>
      <c r="E13" s="34">
        <f>'Fixed data'!$G$6*E29/1000000</f>
        <v>-0.39697978659153399</v>
      </c>
      <c r="F13" s="34">
        <f>'Fixed data'!$G$6*F29/1000000</f>
        <v>-0.39697978659153399</v>
      </c>
      <c r="G13" s="34">
        <f>'Fixed data'!$G$6*G29/1000000</f>
        <v>-0.39697978659153399</v>
      </c>
      <c r="H13" s="34">
        <f>'Fixed data'!$G$6*H29/1000000</f>
        <v>-0.39697978659153399</v>
      </c>
      <c r="I13" s="34">
        <f>'Fixed data'!$G$6*I29/1000000</f>
        <v>-0.39697978659153399</v>
      </c>
      <c r="J13" s="34">
        <f>'Fixed data'!$G$6*J29/1000000</f>
        <v>-0.39697978659153399</v>
      </c>
      <c r="K13" s="34">
        <f>'Fixed data'!$G$6*K29/1000000</f>
        <v>-0.39697978659153399</v>
      </c>
      <c r="L13" s="34">
        <f>'Fixed data'!$G$6*L29/1000000</f>
        <v>-0.39697978659153399</v>
      </c>
      <c r="M13" s="34">
        <f>'Fixed data'!$G$6*M29/1000000</f>
        <v>-0.39697978659153399</v>
      </c>
      <c r="N13" s="34">
        <f>'Fixed data'!$G$6*N29/1000000</f>
        <v>-0.39697978659153399</v>
      </c>
      <c r="O13" s="34">
        <f>'Fixed data'!$G$6*O29/1000000</f>
        <v>-0.39697978659153399</v>
      </c>
      <c r="P13" s="34">
        <f>'Fixed data'!$G$6*P29/1000000</f>
        <v>-0.39697978659153399</v>
      </c>
      <c r="Q13" s="34">
        <f>'Fixed data'!$G$6*Q29/1000000</f>
        <v>-0.39697978659153399</v>
      </c>
      <c r="R13" s="34">
        <f>'Fixed data'!$G$6*R29/1000000</f>
        <v>-0.39697978659153399</v>
      </c>
      <c r="S13" s="34">
        <f>'Fixed data'!$G$6*S29/1000000</f>
        <v>-0.39697978659153399</v>
      </c>
      <c r="T13" s="34">
        <f>'Fixed data'!$G$6*T29/1000000</f>
        <v>-0.39697978659153399</v>
      </c>
      <c r="U13" s="34">
        <f>'Fixed data'!$G$6*U29/1000000</f>
        <v>-0.39697978659153399</v>
      </c>
      <c r="V13" s="34">
        <f>'Fixed data'!$G$6*V29/1000000</f>
        <v>-0.39697978659153399</v>
      </c>
      <c r="W13" s="34">
        <f>'Fixed data'!$G$6*W29/1000000</f>
        <v>-0.39697978659153399</v>
      </c>
      <c r="X13" s="34">
        <f>'Fixed data'!$G$6*X29/1000000</f>
        <v>-0.39697978659153399</v>
      </c>
      <c r="Y13" s="34">
        <f>'Fixed data'!$G$6*Y29/1000000</f>
        <v>-0.39697978659153399</v>
      </c>
      <c r="Z13" s="34">
        <f>'Fixed data'!$G$6*Z29/1000000</f>
        <v>-0.39697978659153399</v>
      </c>
      <c r="AA13" s="34">
        <f>'Fixed data'!$G$6*AA29/1000000</f>
        <v>-0.39697978659153399</v>
      </c>
      <c r="AB13" s="34">
        <f>'Fixed data'!$G$6*AB29/1000000</f>
        <v>-0.39697978659153399</v>
      </c>
      <c r="AC13" s="34">
        <f>'Fixed data'!$G$6*AC29/1000000</f>
        <v>-0.39697978659153399</v>
      </c>
      <c r="AD13" s="34">
        <f>'Fixed data'!$G$6*AD29/1000000</f>
        <v>-0.39697978659153399</v>
      </c>
      <c r="AE13" s="34">
        <f>'Fixed data'!$G$6*AE29/1000000</f>
        <v>-0.39697978659153399</v>
      </c>
      <c r="AF13" s="34">
        <f>'Fixed data'!$G$6*AF29/1000000</f>
        <v>-0.39697978659153399</v>
      </c>
      <c r="AG13" s="34">
        <f>'Fixed data'!$G$6*AG29/1000000</f>
        <v>-0.39697978659153399</v>
      </c>
      <c r="AH13" s="34">
        <f>'Fixed data'!$G$6*AH29/1000000</f>
        <v>-0.39697978659153399</v>
      </c>
      <c r="AI13" s="34">
        <f>'Fixed data'!$G$6*AI29/1000000</f>
        <v>-0.39697978659153399</v>
      </c>
      <c r="AJ13" s="34">
        <f>'Fixed data'!$G$6*AJ29/1000000</f>
        <v>-0.39697978659153399</v>
      </c>
      <c r="AK13" s="34">
        <f>'Fixed data'!$G$6*AK29/1000000</f>
        <v>-0.39697978659153399</v>
      </c>
      <c r="AL13" s="34">
        <f>'Fixed data'!$G$6*AL29/1000000</f>
        <v>-0.39697978659153399</v>
      </c>
      <c r="AM13" s="34">
        <f>'Fixed data'!$G$6*AM29/1000000</f>
        <v>-0.39697978659153399</v>
      </c>
      <c r="AN13" s="34">
        <f>'Fixed data'!$G$6*AN29/1000000</f>
        <v>-0.39697978659153399</v>
      </c>
      <c r="AO13" s="34">
        <f>'Fixed data'!$G$6*AO29/1000000</f>
        <v>-0.39697978659153399</v>
      </c>
      <c r="AP13" s="34">
        <f>'Fixed data'!$G$6*AP29/1000000</f>
        <v>-0.39697978659153399</v>
      </c>
      <c r="AQ13" s="34">
        <f>'Fixed data'!$G$6*AQ29/1000000</f>
        <v>-0.39697978659153399</v>
      </c>
      <c r="AR13" s="34">
        <f>'Fixed data'!$G$6*AR29/1000000</f>
        <v>-0.39697978659153399</v>
      </c>
      <c r="AS13" s="34">
        <f>'Fixed data'!$G$6*AS29/1000000</f>
        <v>-0.39697978659153399</v>
      </c>
      <c r="AT13" s="34">
        <f>'Fixed data'!$G$6*AT29/1000000</f>
        <v>-0.39697978659153399</v>
      </c>
      <c r="AU13" s="34">
        <f>'Fixed data'!$G$6*AU29/1000000</f>
        <v>-0.39697978659153399</v>
      </c>
      <c r="AV13" s="34">
        <f>'Fixed data'!$G$6*AV29/1000000</f>
        <v>-0.39697978659153399</v>
      </c>
      <c r="AW13" s="34">
        <f>'Fixed data'!$G$6*AW29/1000000</f>
        <v>-0.39697978659153399</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07"/>
      <c r="B14" s="9" t="s">
        <v>199</v>
      </c>
      <c r="D14" s="4" t="s">
        <v>39</v>
      </c>
      <c r="E14" s="34">
        <f>E30*'Fixed data'!H$5/1000000</f>
        <v>-3.0108152879070354E-2</v>
      </c>
      <c r="F14" s="34">
        <f>F30*'Fixed data'!I$5/1000000</f>
        <v>-3.0710891799588889E-2</v>
      </c>
      <c r="G14" s="34">
        <f>G30*'Fixed data'!J$5/1000000</f>
        <v>-3.1688004338950512E-2</v>
      </c>
      <c r="H14" s="34">
        <f>H30*'Fixed data'!K$5/1000000</f>
        <v>-3.2671625801052061E-2</v>
      </c>
      <c r="I14" s="34">
        <f>I30*'Fixed data'!L$5/1000000</f>
        <v>-3.3689604036975088E-2</v>
      </c>
      <c r="J14" s="34">
        <f>J30*'Fixed data'!M$5/1000000</f>
        <v>-5.8169800237172394E-2</v>
      </c>
      <c r="K14" s="34">
        <f>K30*'Fixed data'!N$5/1000000</f>
        <v>-8.0926988535079555E-2</v>
      </c>
      <c r="L14" s="34">
        <f>L30*'Fixed data'!O$5/1000000</f>
        <v>-0.10196116893069658</v>
      </c>
      <c r="M14" s="34">
        <f>M30*'Fixed data'!P$5/1000000</f>
        <v>-0.12127234142402347</v>
      </c>
      <c r="N14" s="34">
        <f>N30*'Fixed data'!Q$5/1000000</f>
        <v>-0.13886050601506023</v>
      </c>
      <c r="O14" s="34">
        <f>O30*'Fixed data'!R$5/1000000</f>
        <v>-0.15472566270380683</v>
      </c>
      <c r="P14" s="34">
        <f>P30*'Fixed data'!S$5/1000000</f>
        <v>-0.16886781149026334</v>
      </c>
      <c r="Q14" s="34">
        <f>Q30*'Fixed data'!T$5/1000000</f>
        <v>-0.18128695237442963</v>
      </c>
      <c r="R14" s="34">
        <f>R30*'Fixed data'!U$5/1000000</f>
        <v>-0.19198308535630587</v>
      </c>
      <c r="S14" s="34">
        <f>S30*'Fixed data'!V$5/1000000</f>
        <v>-0.2009562104358919</v>
      </c>
      <c r="T14" s="34">
        <f>T30*'Fixed data'!W$5/1000000</f>
        <v>-0.20476824352438341</v>
      </c>
      <c r="U14" s="34">
        <f>U30*'Fixed data'!X$5/1000000</f>
        <v>-0.21116585209566674</v>
      </c>
      <c r="V14" s="34">
        <f>V30*'Fixed data'!Y$5/1000000</f>
        <v>-0.21576598595517205</v>
      </c>
      <c r="W14" s="34">
        <f>W30*'Fixed data'!Z$5/1000000</f>
        <v>-0.21856864510289928</v>
      </c>
      <c r="X14" s="34">
        <f>X30*'Fixed data'!AA$5/1000000</f>
        <v>-0.21957382953884844</v>
      </c>
      <c r="Y14" s="34">
        <f>Y30*'Fixed data'!AB$5/1000000</f>
        <v>-0.21878153926301946</v>
      </c>
      <c r="Z14" s="34">
        <f>Z30*'Fixed data'!AC$5/1000000</f>
        <v>-0.21443411757398628</v>
      </c>
      <c r="AA14" s="34">
        <f>AA30*'Fixed data'!AD$5/1000000</f>
        <v>-0.21017526892544244</v>
      </c>
      <c r="AB14" s="34">
        <f>AB30*'Fixed data'!AE$5/1000000</f>
        <v>-0.20411894556512053</v>
      </c>
      <c r="AC14" s="34">
        <f>AC30*'Fixed data'!AF$5/1000000</f>
        <v>-0.19626514749302046</v>
      </c>
      <c r="AD14" s="34">
        <f>AD30*'Fixed data'!AG$5/1000000</f>
        <v>-0.1866138747091424</v>
      </c>
      <c r="AE14" s="34">
        <f>AE30*'Fixed data'!AH$5/1000000</f>
        <v>-0.1751651272134862</v>
      </c>
      <c r="AF14" s="34">
        <f>AF30*'Fixed data'!AI$5/1000000</f>
        <v>-0.16191890500605191</v>
      </c>
      <c r="AG14" s="34">
        <f>AG30*'Fixed data'!AJ$5/1000000</f>
        <v>-0.14687520808683949</v>
      </c>
      <c r="AH14" s="34">
        <f>AH30*'Fixed data'!AK$5/1000000</f>
        <v>-0.13003403645584902</v>
      </c>
      <c r="AI14" s="34">
        <f>AI30*'Fixed data'!AL$5/1000000</f>
        <v>-0.11079325286922596</v>
      </c>
      <c r="AJ14" s="34">
        <f>AJ30*'Fixed data'!AM$5/1000000</f>
        <v>-9.0485522865520612E-2</v>
      </c>
      <c r="AK14" s="34">
        <f>AK30*'Fixed data'!AN$5/1000000</f>
        <v>-6.8380318150037173E-2</v>
      </c>
      <c r="AL14" s="34">
        <f>AL30*'Fixed data'!AO$5/1000000</f>
        <v>-4.4477638722775652E-2</v>
      </c>
      <c r="AM14" s="34">
        <f>AM30*'Fixed data'!AP$5/1000000</f>
        <v>-1.8777484583735581E-2</v>
      </c>
      <c r="AN14" s="34">
        <f>AN30*'Fixed data'!AQ$5/1000000</f>
        <v>-1.9486068907650131E-2</v>
      </c>
      <c r="AO14" s="34">
        <f>AO30*'Fixed data'!AR$5/1000000</f>
        <v>-2.0106080191075362E-2</v>
      </c>
      <c r="AP14" s="34">
        <f>AP30*'Fixed data'!AS$5/1000000</f>
        <v>-2.0726091474500594E-2</v>
      </c>
      <c r="AQ14" s="34">
        <f>AQ30*'Fixed data'!AT$5/1000000</f>
        <v>-2.1346102757925822E-2</v>
      </c>
      <c r="AR14" s="34">
        <f>AR30*'Fixed data'!AU$5/1000000</f>
        <v>-2.1966114041351056E-2</v>
      </c>
      <c r="AS14" s="34">
        <f>AS30*'Fixed data'!AV$5/1000000</f>
        <v>-2.2674698365265606E-2</v>
      </c>
      <c r="AT14" s="34">
        <f>AT30*'Fixed data'!AW$5/1000000</f>
        <v>-2.3206136608201516E-2</v>
      </c>
      <c r="AU14" s="34">
        <f>AU30*'Fixed data'!AX$5/1000000</f>
        <v>-2.3826147891626751E-2</v>
      </c>
      <c r="AV14" s="34">
        <f>AV30*'Fixed data'!AY$5/1000000</f>
        <v>-2.4446159175051985E-2</v>
      </c>
      <c r="AW14" s="34">
        <f>AW30*'Fixed data'!AZ$5/1000000</f>
        <v>-2.4977597417987895E-2</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07"/>
      <c r="B15" s="9" t="s">
        <v>295</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c r="A16" s="207"/>
      <c r="B16" s="9" t="s">
        <v>296</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c r="A17" s="207"/>
      <c r="B17" s="4" t="s">
        <v>200</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07"/>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07"/>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07"/>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07"/>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07"/>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07"/>
      <c r="B23" s="9" t="s">
        <v>208</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08"/>
      <c r="B24" s="13" t="s">
        <v>98</v>
      </c>
      <c r="C24" s="13"/>
      <c r="D24" s="13" t="s">
        <v>39</v>
      </c>
      <c r="E24" s="52">
        <f>SUM(E13:E23)</f>
        <v>-0.42708793947060436</v>
      </c>
      <c r="F24" s="52">
        <f t="shared" ref="F24:BD24" si="1">SUM(F13:F23)</f>
        <v>-0.4276906783911229</v>
      </c>
      <c r="G24" s="52">
        <f t="shared" si="1"/>
        <v>-0.42866779093048452</v>
      </c>
      <c r="H24" s="52">
        <f t="shared" si="1"/>
        <v>-0.42965141239258603</v>
      </c>
      <c r="I24" s="52">
        <f t="shared" si="1"/>
        <v>-0.43066939062850906</v>
      </c>
      <c r="J24" s="52">
        <f t="shared" si="1"/>
        <v>-0.45514958682870638</v>
      </c>
      <c r="K24" s="52">
        <f t="shared" si="1"/>
        <v>-0.47790677512661356</v>
      </c>
      <c r="L24" s="52">
        <f t="shared" si="1"/>
        <v>-0.49894095552223056</v>
      </c>
      <c r="M24" s="52">
        <f t="shared" si="1"/>
        <v>-0.51825212801555742</v>
      </c>
      <c r="N24" s="52">
        <f t="shared" si="1"/>
        <v>-0.53584029260659416</v>
      </c>
      <c r="O24" s="52">
        <f t="shared" si="1"/>
        <v>-0.55170544929534082</v>
      </c>
      <c r="P24" s="52">
        <f t="shared" si="1"/>
        <v>-0.5658475980817973</v>
      </c>
      <c r="Q24" s="52">
        <f t="shared" si="1"/>
        <v>-0.57826673896596359</v>
      </c>
      <c r="R24" s="52">
        <f t="shared" si="1"/>
        <v>-0.58896287194783992</v>
      </c>
      <c r="S24" s="52">
        <f t="shared" si="1"/>
        <v>-0.59793599702742584</v>
      </c>
      <c r="T24" s="52">
        <f t="shared" si="1"/>
        <v>-0.60174803011591738</v>
      </c>
      <c r="U24" s="52">
        <f t="shared" si="1"/>
        <v>-0.60814563868720073</v>
      </c>
      <c r="V24" s="52">
        <f t="shared" si="1"/>
        <v>-0.61274577254670604</v>
      </c>
      <c r="W24" s="52">
        <f t="shared" si="1"/>
        <v>-0.6155484316944333</v>
      </c>
      <c r="X24" s="52">
        <f t="shared" si="1"/>
        <v>-0.6165536161303824</v>
      </c>
      <c r="Y24" s="52">
        <f t="shared" si="1"/>
        <v>-0.61576132585455345</v>
      </c>
      <c r="Z24" s="52">
        <f t="shared" si="1"/>
        <v>-0.61141390416552022</v>
      </c>
      <c r="AA24" s="52">
        <f t="shared" si="1"/>
        <v>-0.60715505551697646</v>
      </c>
      <c r="AB24" s="52">
        <f t="shared" si="1"/>
        <v>-0.60109873215665455</v>
      </c>
      <c r="AC24" s="52">
        <f t="shared" si="1"/>
        <v>-0.59324493408455448</v>
      </c>
      <c r="AD24" s="52">
        <f t="shared" si="1"/>
        <v>-0.58359366130067636</v>
      </c>
      <c r="AE24" s="52">
        <f t="shared" si="1"/>
        <v>-0.57214491380502019</v>
      </c>
      <c r="AF24" s="52">
        <f t="shared" si="1"/>
        <v>-0.55889869159758587</v>
      </c>
      <c r="AG24" s="52">
        <f t="shared" si="1"/>
        <v>-0.5438549946783735</v>
      </c>
      <c r="AH24" s="52">
        <f t="shared" si="1"/>
        <v>-0.52701382304738298</v>
      </c>
      <c r="AI24" s="52">
        <f t="shared" si="1"/>
        <v>-0.50777303946075991</v>
      </c>
      <c r="AJ24" s="52">
        <f t="shared" si="1"/>
        <v>-0.48746530945705457</v>
      </c>
      <c r="AK24" s="52">
        <f t="shared" si="1"/>
        <v>-0.46536010474157119</v>
      </c>
      <c r="AL24" s="52">
        <f t="shared" si="1"/>
        <v>-0.44145742531430965</v>
      </c>
      <c r="AM24" s="52">
        <f t="shared" si="1"/>
        <v>-0.41575727117526956</v>
      </c>
      <c r="AN24" s="52">
        <f t="shared" si="1"/>
        <v>-0.41646585549918413</v>
      </c>
      <c r="AO24" s="52">
        <f t="shared" si="1"/>
        <v>-0.41708586678260934</v>
      </c>
      <c r="AP24" s="52">
        <f t="shared" si="1"/>
        <v>-0.4177058780660346</v>
      </c>
      <c r="AQ24" s="52">
        <f t="shared" si="1"/>
        <v>-0.4183258893494598</v>
      </c>
      <c r="AR24" s="52">
        <f t="shared" si="1"/>
        <v>-0.41894590063288506</v>
      </c>
      <c r="AS24" s="52">
        <f t="shared" si="1"/>
        <v>-0.41965448495679958</v>
      </c>
      <c r="AT24" s="52">
        <f t="shared" si="1"/>
        <v>-0.42018592319973552</v>
      </c>
      <c r="AU24" s="52">
        <f t="shared" si="1"/>
        <v>-0.42080593448316073</v>
      </c>
      <c r="AV24" s="52">
        <f t="shared" si="1"/>
        <v>-0.42142594576658599</v>
      </c>
      <c r="AW24" s="52">
        <f t="shared" si="1"/>
        <v>-0.42195738400952187</v>
      </c>
      <c r="AX24" s="52">
        <f t="shared" si="1"/>
        <v>0</v>
      </c>
      <c r="AY24" s="52">
        <f t="shared" si="1"/>
        <v>0</v>
      </c>
      <c r="AZ24" s="52">
        <f t="shared" si="1"/>
        <v>0</v>
      </c>
      <c r="BA24" s="52">
        <f t="shared" si="1"/>
        <v>0</v>
      </c>
      <c r="BB24" s="52">
        <f t="shared" si="1"/>
        <v>0</v>
      </c>
      <c r="BC24" s="52">
        <f t="shared" si="1"/>
        <v>0</v>
      </c>
      <c r="BD24" s="52">
        <f t="shared" si="1"/>
        <v>0</v>
      </c>
    </row>
    <row r="25" spans="1:56">
      <c r="A25" s="74"/>
      <c r="B25" s="14"/>
    </row>
    <row r="26" spans="1:56">
      <c r="A26" s="74"/>
    </row>
    <row r="27" spans="1:56">
      <c r="A27" s="114"/>
      <c r="B27" s="121" t="s">
        <v>214</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row>
    <row r="28" spans="1:56">
      <c r="A28" s="117"/>
      <c r="B28" s="118"/>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row>
    <row r="29" spans="1:56" ht="12.75" customHeight="1">
      <c r="A29" s="209" t="s">
        <v>304</v>
      </c>
      <c r="B29" s="4" t="s">
        <v>209</v>
      </c>
      <c r="D29" s="4" t="s">
        <v>85</v>
      </c>
      <c r="E29" s="43">
        <f>-1*'Workings baseline'!E11</f>
        <v>-8198.4589127693744</v>
      </c>
      <c r="F29" s="143">
        <f>-1*'Workings baseline'!F11</f>
        <v>-8198.4589127693744</v>
      </c>
      <c r="G29" s="143">
        <f>-1*'Workings baseline'!G11</f>
        <v>-8198.4589127693744</v>
      </c>
      <c r="H29" s="143">
        <f>-1*'Workings baseline'!H11</f>
        <v>-8198.4589127693744</v>
      </c>
      <c r="I29" s="143">
        <f>-1*'Workings baseline'!I11</f>
        <v>-8198.4589127693744</v>
      </c>
      <c r="J29" s="143">
        <f>-1*'Workings baseline'!J11</f>
        <v>-8198.4589127693744</v>
      </c>
      <c r="K29" s="143">
        <f>-1*'Workings baseline'!K11</f>
        <v>-8198.4589127693744</v>
      </c>
      <c r="L29" s="143">
        <f>-1*'Workings baseline'!L11</f>
        <v>-8198.4589127693744</v>
      </c>
      <c r="M29" s="143">
        <f>-1*'Workings baseline'!M11</f>
        <v>-8198.4589127693744</v>
      </c>
      <c r="N29" s="143">
        <f>-1*'Workings baseline'!N11</f>
        <v>-8198.4589127693744</v>
      </c>
      <c r="O29" s="143">
        <f>-1*'Workings baseline'!O11</f>
        <v>-8198.4589127693744</v>
      </c>
      <c r="P29" s="143">
        <f>-1*'Workings baseline'!P11</f>
        <v>-8198.4589127693744</v>
      </c>
      <c r="Q29" s="143">
        <f>-1*'Workings baseline'!Q11</f>
        <v>-8198.4589127693744</v>
      </c>
      <c r="R29" s="143">
        <f>-1*'Workings baseline'!R11</f>
        <v>-8198.4589127693744</v>
      </c>
      <c r="S29" s="143">
        <f>-1*'Workings baseline'!S11</f>
        <v>-8198.4589127693744</v>
      </c>
      <c r="T29" s="143">
        <f>-1*'Workings baseline'!T11</f>
        <v>-8198.4589127693744</v>
      </c>
      <c r="U29" s="143">
        <f>-1*'Workings baseline'!U11</f>
        <v>-8198.4589127693744</v>
      </c>
      <c r="V29" s="143">
        <f>-1*'Workings baseline'!V11</f>
        <v>-8198.4589127693744</v>
      </c>
      <c r="W29" s="143">
        <f>-1*'Workings baseline'!W11</f>
        <v>-8198.4589127693744</v>
      </c>
      <c r="X29" s="143">
        <f>-1*'Workings baseline'!X11</f>
        <v>-8198.4589127693744</v>
      </c>
      <c r="Y29" s="143">
        <f>-1*'Workings baseline'!Y11</f>
        <v>-8198.4589127693744</v>
      </c>
      <c r="Z29" s="143">
        <f>-1*'Workings baseline'!Z11</f>
        <v>-8198.4589127693744</v>
      </c>
      <c r="AA29" s="143">
        <f>-1*'Workings baseline'!AA11</f>
        <v>-8198.4589127693744</v>
      </c>
      <c r="AB29" s="143">
        <f>-1*'Workings baseline'!AB11</f>
        <v>-8198.4589127693744</v>
      </c>
      <c r="AC29" s="143">
        <f>-1*'Workings baseline'!AC11</f>
        <v>-8198.4589127693744</v>
      </c>
      <c r="AD29" s="143">
        <f>-1*'Workings baseline'!AD11</f>
        <v>-8198.4589127693744</v>
      </c>
      <c r="AE29" s="143">
        <f>-1*'Workings baseline'!AE11</f>
        <v>-8198.4589127693744</v>
      </c>
      <c r="AF29" s="143">
        <f>-1*'Workings baseline'!AF11</f>
        <v>-8198.4589127693744</v>
      </c>
      <c r="AG29" s="143">
        <f>-1*'Workings baseline'!AG11</f>
        <v>-8198.4589127693744</v>
      </c>
      <c r="AH29" s="143">
        <f>-1*'Workings baseline'!AH11</f>
        <v>-8198.4589127693744</v>
      </c>
      <c r="AI29" s="143">
        <f>-1*'Workings baseline'!AI11</f>
        <v>-8198.4589127693744</v>
      </c>
      <c r="AJ29" s="143">
        <f>-1*'Workings baseline'!AJ11</f>
        <v>-8198.4589127693744</v>
      </c>
      <c r="AK29" s="143">
        <f>-1*'Workings baseline'!AK11</f>
        <v>-8198.4589127693744</v>
      </c>
      <c r="AL29" s="143">
        <f>-1*'Workings baseline'!AL11</f>
        <v>-8198.4589127693744</v>
      </c>
      <c r="AM29" s="143">
        <f>-1*'Workings baseline'!AM11</f>
        <v>-8198.4589127693744</v>
      </c>
      <c r="AN29" s="143">
        <f>-1*'Workings baseline'!AN11</f>
        <v>-8198.4589127693744</v>
      </c>
      <c r="AO29" s="143">
        <f>-1*'Workings baseline'!AO11</f>
        <v>-8198.4589127693744</v>
      </c>
      <c r="AP29" s="143">
        <f>-1*'Workings baseline'!AP11</f>
        <v>-8198.4589127693744</v>
      </c>
      <c r="AQ29" s="143">
        <f>-1*'Workings baseline'!AQ11</f>
        <v>-8198.4589127693744</v>
      </c>
      <c r="AR29" s="143">
        <f>-1*'Workings baseline'!AR11</f>
        <v>-8198.4589127693744</v>
      </c>
      <c r="AS29" s="143">
        <f>-1*'Workings baseline'!AS11</f>
        <v>-8198.4589127693744</v>
      </c>
      <c r="AT29" s="143">
        <f>-1*'Workings baseline'!AT11</f>
        <v>-8198.4589127693744</v>
      </c>
      <c r="AU29" s="143">
        <f>-1*'Workings baseline'!AU11</f>
        <v>-8198.4589127693744</v>
      </c>
      <c r="AV29" s="143">
        <f>-1*'Workings baseline'!AV11</f>
        <v>-8198.4589127693744</v>
      </c>
      <c r="AW29" s="143">
        <f>-1*'Workings baseline'!AW11</f>
        <v>-8198.4589127693744</v>
      </c>
      <c r="AX29" s="43"/>
      <c r="AY29" s="43"/>
      <c r="AZ29" s="43"/>
      <c r="BA29" s="43"/>
      <c r="BB29" s="43"/>
      <c r="BC29" s="43"/>
      <c r="BD29" s="43"/>
    </row>
    <row r="30" spans="1:56">
      <c r="A30" s="209"/>
      <c r="B30" s="4" t="s">
        <v>210</v>
      </c>
      <c r="D30" s="4" t="s">
        <v>87</v>
      </c>
      <c r="E30" s="34">
        <f>E29*'Fixed data'!H$12</f>
        <v>-4122.5704689093418</v>
      </c>
      <c r="F30" s="34">
        <f>F29*'Fixed data'!I$12</f>
        <v>-4003.7297077392941</v>
      </c>
      <c r="G30" s="34">
        <f>G29*'Fixed data'!J$12</f>
        <v>-3884.8889465692455</v>
      </c>
      <c r="H30" s="34">
        <f>H29*'Fixed data'!K$12</f>
        <v>-3766.0481853991973</v>
      </c>
      <c r="I30" s="34">
        <f>I29*'Fixed data'!L$12</f>
        <v>-3647.2074242291487</v>
      </c>
      <c r="J30" s="34">
        <f>J29*'Fixed data'!M$12</f>
        <v>-3528.3666630591001</v>
      </c>
      <c r="K30" s="34">
        <f>K29*'Fixed data'!N$12</f>
        <v>-3409.525901889052</v>
      </c>
      <c r="L30" s="34">
        <f>L29*'Fixed data'!O$12</f>
        <v>-3290.6851407190034</v>
      </c>
      <c r="M30" s="34">
        <f>M29*'Fixed data'!P$12</f>
        <v>-3171.8443795489552</v>
      </c>
      <c r="N30" s="34">
        <f>N29*'Fixed data'!Q$12</f>
        <v>-3053.0036183789066</v>
      </c>
      <c r="O30" s="34">
        <f>O29*'Fixed data'!R$12</f>
        <v>-2934.162857208858</v>
      </c>
      <c r="P30" s="34">
        <f>P29*'Fixed data'!S$12</f>
        <v>-2815.3220960388098</v>
      </c>
      <c r="Q30" s="34">
        <f>Q29*'Fixed data'!T$12</f>
        <v>-2696.4813348687612</v>
      </c>
      <c r="R30" s="34">
        <f>R29*'Fixed data'!U$12</f>
        <v>-2577.6405736987131</v>
      </c>
      <c r="S30" s="34">
        <f>S29*'Fixed data'!V$12</f>
        <v>-2458.7998125286645</v>
      </c>
      <c r="T30" s="34">
        <f>T29*'Fixed data'!W$12</f>
        <v>-2339.9590513586163</v>
      </c>
      <c r="U30" s="34">
        <f>U29*'Fixed data'!X$12</f>
        <v>-2221.1182901885677</v>
      </c>
      <c r="V30" s="34">
        <f>V29*'Fixed data'!Y$12</f>
        <v>-2102.2775290185191</v>
      </c>
      <c r="W30" s="34">
        <f>W29*'Fixed data'!Z$12</f>
        <v>-1983.4367678484712</v>
      </c>
      <c r="X30" s="34">
        <f>X29*'Fixed data'!AA$12</f>
        <v>-1864.5960066784226</v>
      </c>
      <c r="Y30" s="34">
        <f>Y29*'Fixed data'!AB$12</f>
        <v>-1745.7552455083742</v>
      </c>
      <c r="Z30" s="34">
        <f>Z29*'Fixed data'!AC$12</f>
        <v>-1626.9144843383258</v>
      </c>
      <c r="AA30" s="34">
        <f>AA29*'Fixed data'!AD$12</f>
        <v>-1508.0737231682774</v>
      </c>
      <c r="AB30" s="34">
        <f>AB29*'Fixed data'!AE$12</f>
        <v>-1389.232961998229</v>
      </c>
      <c r="AC30" s="34">
        <f>AC29*'Fixed data'!AF$12</f>
        <v>-1270.3922008281804</v>
      </c>
      <c r="AD30" s="34">
        <f>AD29*'Fixed data'!AG$12</f>
        <v>-1151.551439658132</v>
      </c>
      <c r="AE30" s="34">
        <f>AE29*'Fixed data'!AH$12</f>
        <v>-1032.7106784880837</v>
      </c>
      <c r="AF30" s="34">
        <f>AF29*'Fixed data'!AI$12</f>
        <v>-913.86991731803516</v>
      </c>
      <c r="AG30" s="34">
        <f>AG29*'Fixed data'!AJ$12</f>
        <v>-795.02915614798667</v>
      </c>
      <c r="AH30" s="34">
        <f>AH29*'Fixed data'!AK$12</f>
        <v>-676.18839497793806</v>
      </c>
      <c r="AI30" s="34">
        <f>AI29*'Fixed data'!AL$12</f>
        <v>-557.34763380788957</v>
      </c>
      <c r="AJ30" s="34">
        <f>AJ29*'Fixed data'!AM$12</f>
        <v>-438.50687263784113</v>
      </c>
      <c r="AK30" s="34">
        <f>AK29*'Fixed data'!AN$12</f>
        <v>-319.66611146779263</v>
      </c>
      <c r="AL30" s="34">
        <f>AL29*'Fixed data'!AO$12</f>
        <v>-200.82535029774419</v>
      </c>
      <c r="AM30" s="34">
        <f>AM29*'Fixed data'!AP$12</f>
        <v>-81.984589127693752</v>
      </c>
      <c r="AN30" s="34">
        <f>AN29*'Fixed data'!AQ$12</f>
        <v>-81.984589127693752</v>
      </c>
      <c r="AO30" s="34">
        <f>AO29*'Fixed data'!AR$12</f>
        <v>-81.984589127693752</v>
      </c>
      <c r="AP30" s="34">
        <f>AP29*'Fixed data'!AS$12</f>
        <v>-81.984589127693752</v>
      </c>
      <c r="AQ30" s="34">
        <f>AQ29*'Fixed data'!AT$12</f>
        <v>-81.984589127693752</v>
      </c>
      <c r="AR30" s="34">
        <f>AR29*'Fixed data'!AU$12</f>
        <v>-81.984589127693752</v>
      </c>
      <c r="AS30" s="34">
        <f>AS29*'Fixed data'!AV$12</f>
        <v>-81.984589127693752</v>
      </c>
      <c r="AT30" s="34">
        <f>AT29*'Fixed data'!AW$12</f>
        <v>-81.984589127693752</v>
      </c>
      <c r="AU30" s="34">
        <f>AU29*'Fixed data'!AX$12</f>
        <v>-81.984589127693752</v>
      </c>
      <c r="AV30" s="34">
        <f>AV29*'Fixed data'!AY$12</f>
        <v>-81.984589127693752</v>
      </c>
      <c r="AW30" s="34">
        <f>AW29*'Fixed data'!AZ$12</f>
        <v>-81.984589127693752</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09"/>
      <c r="B31" s="4" t="s">
        <v>211</v>
      </c>
      <c r="D31" s="4" t="s">
        <v>206</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09"/>
      <c r="B32" s="4" t="s">
        <v>212</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09"/>
      <c r="B33" s="4" t="s">
        <v>328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09"/>
      <c r="B34" s="4" t="s">
        <v>329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09"/>
      <c r="B35" s="4" t="s">
        <v>330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09"/>
      <c r="B36" s="4" t="s">
        <v>213</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c r="C37" s="36"/>
    </row>
    <row r="38" spans="1:56" ht="16.5">
      <c r="A38" s="85"/>
      <c r="C38" s="36"/>
    </row>
    <row r="39" spans="1:56" ht="16.5">
      <c r="A39" s="85">
        <v>1</v>
      </c>
      <c r="B39" s="4" t="s">
        <v>331</v>
      </c>
    </row>
    <row r="40" spans="1:56">
      <c r="B40" s="127" t="s">
        <v>152</v>
      </c>
    </row>
    <row r="41" spans="1:56">
      <c r="B41" s="4" t="s">
        <v>315</v>
      </c>
    </row>
    <row r="42" spans="1:56">
      <c r="B42" s="4" t="s">
        <v>332</v>
      </c>
    </row>
    <row r="43" spans="1:56" ht="16.5">
      <c r="A43" s="85">
        <v>2</v>
      </c>
      <c r="B43" s="69" t="s">
        <v>151</v>
      </c>
    </row>
    <row r="48" spans="1:56">
      <c r="C48" s="36"/>
    </row>
    <row r="113" spans="2:2">
      <c r="B113" s="4" t="s">
        <v>195</v>
      </c>
    </row>
    <row r="114" spans="2:2">
      <c r="B114" s="4" t="s">
        <v>194</v>
      </c>
    </row>
    <row r="115" spans="2:2">
      <c r="B115" s="4" t="s">
        <v>316</v>
      </c>
    </row>
    <row r="116" spans="2:2">
      <c r="B116" s="4" t="s">
        <v>155</v>
      </c>
    </row>
    <row r="117" spans="2:2">
      <c r="B117" s="4" t="s">
        <v>156</v>
      </c>
    </row>
    <row r="118" spans="2:2">
      <c r="B118" s="4" t="s">
        <v>157</v>
      </c>
    </row>
    <row r="119" spans="2:2">
      <c r="B119" s="4" t="s">
        <v>158</v>
      </c>
    </row>
    <row r="120" spans="2:2">
      <c r="B120" s="4" t="s">
        <v>159</v>
      </c>
    </row>
    <row r="121" spans="2:2">
      <c r="B121" s="4" t="s">
        <v>160</v>
      </c>
    </row>
    <row r="122" spans="2:2">
      <c r="B122" s="4" t="s">
        <v>161</v>
      </c>
    </row>
    <row r="123" spans="2:2">
      <c r="B123" s="4" t="s">
        <v>162</v>
      </c>
    </row>
    <row r="124" spans="2:2">
      <c r="B124" s="4" t="s">
        <v>163</v>
      </c>
    </row>
    <row r="125" spans="2:2">
      <c r="B125" s="4" t="s">
        <v>196</v>
      </c>
    </row>
    <row r="126" spans="2:2">
      <c r="B126" s="4" t="s">
        <v>164</v>
      </c>
    </row>
    <row r="127" spans="2:2">
      <c r="B127" s="4" t="s">
        <v>165</v>
      </c>
    </row>
    <row r="128" spans="2:2">
      <c r="B128" s="4" t="s">
        <v>166</v>
      </c>
    </row>
    <row r="129" spans="2:2">
      <c r="B129" s="4" t="s">
        <v>167</v>
      </c>
    </row>
    <row r="130" spans="2:2">
      <c r="B130" s="4" t="s">
        <v>168</v>
      </c>
    </row>
    <row r="131" spans="2:2">
      <c r="B131" s="4" t="s">
        <v>169</v>
      </c>
    </row>
    <row r="132" spans="2:2">
      <c r="B132" s="4" t="s">
        <v>170</v>
      </c>
    </row>
    <row r="133" spans="2:2">
      <c r="B133" s="4" t="s">
        <v>171</v>
      </c>
    </row>
    <row r="134" spans="2:2">
      <c r="B134" s="4" t="s">
        <v>172</v>
      </c>
    </row>
    <row r="135" spans="2:2">
      <c r="B135" s="4" t="s">
        <v>197</v>
      </c>
    </row>
    <row r="136" spans="2:2">
      <c r="B136" s="4" t="s">
        <v>198</v>
      </c>
    </row>
    <row r="137" spans="2:2">
      <c r="B137" s="4" t="s">
        <v>173</v>
      </c>
    </row>
    <row r="138" spans="2:2">
      <c r="B138" s="4" t="s">
        <v>174</v>
      </c>
    </row>
    <row r="139" spans="2:2">
      <c r="B139" s="4" t="s">
        <v>175</v>
      </c>
    </row>
    <row r="140" spans="2:2">
      <c r="B140" s="4" t="s">
        <v>176</v>
      </c>
    </row>
    <row r="141" spans="2:2">
      <c r="B141" s="4" t="s">
        <v>177</v>
      </c>
    </row>
    <row r="142" spans="2:2">
      <c r="B142" s="4" t="s">
        <v>178</v>
      </c>
    </row>
    <row r="143" spans="2:2">
      <c r="B143" s="4" t="s">
        <v>179</v>
      </c>
    </row>
    <row r="144" spans="2:2">
      <c r="B144" s="4" t="s">
        <v>180</v>
      </c>
    </row>
    <row r="145" spans="2:2">
      <c r="B145" s="4" t="s">
        <v>181</v>
      </c>
    </row>
    <row r="146" spans="2:2">
      <c r="B146" s="4" t="s">
        <v>182</v>
      </c>
    </row>
    <row r="147" spans="2:2">
      <c r="B147" s="4" t="s">
        <v>183</v>
      </c>
    </row>
    <row r="148" spans="2:2">
      <c r="B148" s="4" t="s">
        <v>184</v>
      </c>
    </row>
    <row r="149" spans="2:2">
      <c r="B149" s="4" t="s">
        <v>185</v>
      </c>
    </row>
    <row r="150" spans="2:2">
      <c r="B150" s="4" t="s">
        <v>186</v>
      </c>
    </row>
    <row r="151" spans="2:2">
      <c r="B151" s="4" t="s">
        <v>187</v>
      </c>
    </row>
    <row r="152" spans="2:2">
      <c r="B152" s="4" t="s">
        <v>188</v>
      </c>
    </row>
    <row r="153" spans="2:2">
      <c r="B153" s="4" t="s">
        <v>189</v>
      </c>
    </row>
    <row r="154" spans="2:2">
      <c r="B154" s="4" t="s">
        <v>190</v>
      </c>
    </row>
    <row r="155" spans="2:2">
      <c r="B155" s="4" t="s">
        <v>191</v>
      </c>
    </row>
    <row r="156" spans="2:2">
      <c r="B156" s="4" t="s">
        <v>192</v>
      </c>
    </row>
    <row r="157" spans="2:2">
      <c r="B157" s="4" t="s">
        <v>193</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sheetPr codeName="Sheet5"/>
  <dimension ref="A1:AW25"/>
  <sheetViews>
    <sheetView workbookViewId="0"/>
  </sheetViews>
  <sheetFormatPr defaultRowHeight="15"/>
  <cols>
    <col min="1" max="1" width="27" customWidth="1"/>
    <col min="2" max="2" width="8.5703125" customWidth="1"/>
    <col min="4" max="4" width="26.42578125" bestFit="1" customWidth="1"/>
  </cols>
  <sheetData>
    <row r="1" spans="1:49" ht="18.75">
      <c r="A1" s="1" t="s">
        <v>299</v>
      </c>
    </row>
    <row r="2" spans="1:49">
      <c r="A2" t="s">
        <v>76</v>
      </c>
    </row>
    <row r="3" spans="1:49" ht="15.75" thickBot="1"/>
    <row r="4" spans="1:49" ht="17.25">
      <c r="A4" s="213" t="s">
        <v>363</v>
      </c>
      <c r="B4" s="214"/>
      <c r="F4" s="150" t="s">
        <v>347</v>
      </c>
      <c r="G4" s="151">
        <v>0.53</v>
      </c>
      <c r="K4" s="146"/>
      <c r="L4" s="147" t="s">
        <v>349</v>
      </c>
    </row>
    <row r="5" spans="1:49" ht="15.75" thickBot="1">
      <c r="A5" s="215"/>
      <c r="B5" s="216"/>
      <c r="F5" s="152" t="s">
        <v>346</v>
      </c>
      <c r="G5" s="153">
        <f>(L5*G4)+((1-L5)*G4^2)</f>
        <v>0.30581000000000003</v>
      </c>
      <c r="K5" s="148" t="s">
        <v>348</v>
      </c>
      <c r="L5" s="149">
        <v>0.1</v>
      </c>
    </row>
    <row r="6" spans="1:49">
      <c r="A6" s="154" t="s">
        <v>355</v>
      </c>
      <c r="B6" s="155">
        <v>1000</v>
      </c>
      <c r="D6" s="144"/>
      <c r="G6" s="144"/>
      <c r="H6" s="144"/>
      <c r="I6" s="144"/>
      <c r="J6" s="144"/>
      <c r="K6" s="144"/>
    </row>
    <row r="7" spans="1:49">
      <c r="A7" s="154" t="s">
        <v>359</v>
      </c>
      <c r="B7" s="164">
        <v>99.647000000000006</v>
      </c>
    </row>
    <row r="8" spans="1:49">
      <c r="A8" s="154" t="s">
        <v>356</v>
      </c>
      <c r="B8" s="155">
        <v>0.185</v>
      </c>
      <c r="E8" s="160" t="s">
        <v>350</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1:49" ht="16.5" thickBot="1">
      <c r="A9" s="156" t="s">
        <v>364</v>
      </c>
      <c r="B9" s="153">
        <f>(305^2*B8)*G5*8760/1000000</f>
        <v>46.102788690150007</v>
      </c>
      <c r="D9" s="157" t="s">
        <v>351</v>
      </c>
      <c r="E9" s="158">
        <v>2016</v>
      </c>
      <c r="F9" s="158">
        <v>2017</v>
      </c>
      <c r="G9" s="158">
        <v>2018</v>
      </c>
      <c r="H9" s="158">
        <v>2019</v>
      </c>
      <c r="I9" s="158">
        <v>2020</v>
      </c>
      <c r="J9" s="158">
        <v>2021</v>
      </c>
      <c r="K9" s="158">
        <v>2022</v>
      </c>
      <c r="L9" s="158">
        <v>2023</v>
      </c>
      <c r="M9" s="158">
        <v>2024</v>
      </c>
      <c r="N9" s="158">
        <v>2025</v>
      </c>
      <c r="O9" s="158">
        <v>2026</v>
      </c>
      <c r="P9" s="158">
        <v>2027</v>
      </c>
      <c r="Q9" s="158">
        <v>2028</v>
      </c>
      <c r="R9" s="158">
        <v>2029</v>
      </c>
      <c r="S9" s="158">
        <v>2030</v>
      </c>
      <c r="T9" s="158">
        <v>2031</v>
      </c>
      <c r="U9" s="158">
        <v>2032</v>
      </c>
      <c r="V9" s="158">
        <v>2033</v>
      </c>
      <c r="W9" s="158">
        <v>2034</v>
      </c>
      <c r="X9" s="158">
        <v>2035</v>
      </c>
      <c r="Y9" s="158">
        <v>2036</v>
      </c>
      <c r="Z9" s="158">
        <v>2037</v>
      </c>
      <c r="AA9" s="158">
        <v>2038</v>
      </c>
      <c r="AB9" s="158">
        <v>2039</v>
      </c>
      <c r="AC9" s="158">
        <v>2040</v>
      </c>
      <c r="AD9" s="158">
        <v>2041</v>
      </c>
      <c r="AE9" s="158">
        <v>2042</v>
      </c>
      <c r="AF9" s="158">
        <v>2043</v>
      </c>
      <c r="AG9" s="158">
        <v>2044</v>
      </c>
      <c r="AH9" s="158">
        <v>2045</v>
      </c>
      <c r="AI9" s="158">
        <v>2046</v>
      </c>
      <c r="AJ9" s="158">
        <v>2047</v>
      </c>
      <c r="AK9" s="158">
        <v>2048</v>
      </c>
      <c r="AL9" s="158">
        <v>2049</v>
      </c>
      <c r="AM9" s="158">
        <v>2050</v>
      </c>
      <c r="AN9" s="158">
        <v>2051</v>
      </c>
      <c r="AO9" s="158">
        <v>2052</v>
      </c>
      <c r="AP9" s="158">
        <v>2053</v>
      </c>
      <c r="AQ9" s="158">
        <v>2054</v>
      </c>
      <c r="AR9" s="158">
        <v>2055</v>
      </c>
      <c r="AS9" s="158">
        <v>2056</v>
      </c>
      <c r="AT9" s="158">
        <v>2057</v>
      </c>
      <c r="AU9" s="158">
        <v>2058</v>
      </c>
      <c r="AV9" s="158">
        <v>2059</v>
      </c>
      <c r="AW9" s="158">
        <v>2060</v>
      </c>
    </row>
    <row r="10" spans="1:49">
      <c r="D10" s="157" t="s">
        <v>353</v>
      </c>
      <c r="E10" s="145">
        <f>'Workings 1'!E10</f>
        <v>94.19</v>
      </c>
      <c r="F10" s="145">
        <f>'Workings 1'!F10</f>
        <v>83.64</v>
      </c>
      <c r="G10" s="145">
        <f>'Workings 1'!G10</f>
        <v>0</v>
      </c>
      <c r="H10" s="145">
        <f>'Workings 1'!H10</f>
        <v>0</v>
      </c>
      <c r="I10" s="145">
        <f>'Workings 1'!I10</f>
        <v>0</v>
      </c>
      <c r="J10" s="145">
        <f>'Workings 1'!J10</f>
        <v>0</v>
      </c>
      <c r="K10" s="145">
        <f>'Workings 1'!K10</f>
        <v>0</v>
      </c>
      <c r="L10" s="145">
        <f>'Workings 1'!L10</f>
        <v>0</v>
      </c>
      <c r="M10" s="159">
        <v>0</v>
      </c>
      <c r="N10" s="159">
        <v>0</v>
      </c>
      <c r="O10" s="159">
        <v>0</v>
      </c>
      <c r="P10" s="159">
        <v>0</v>
      </c>
      <c r="Q10" s="159">
        <v>0</v>
      </c>
      <c r="R10" s="159">
        <v>0</v>
      </c>
      <c r="S10" s="159">
        <v>0</v>
      </c>
      <c r="T10" s="159">
        <v>0</v>
      </c>
      <c r="U10" s="159">
        <v>0</v>
      </c>
      <c r="V10" s="159">
        <v>0</v>
      </c>
      <c r="W10" s="159">
        <v>0</v>
      </c>
      <c r="X10" s="159">
        <v>0</v>
      </c>
      <c r="Y10" s="159">
        <v>0</v>
      </c>
      <c r="Z10" s="159">
        <v>0</v>
      </c>
      <c r="AA10" s="159">
        <v>0</v>
      </c>
      <c r="AB10" s="159">
        <v>0</v>
      </c>
      <c r="AC10" s="159">
        <v>0</v>
      </c>
      <c r="AD10" s="159">
        <v>0</v>
      </c>
      <c r="AE10" s="159">
        <v>0</v>
      </c>
      <c r="AF10" s="159">
        <v>0</v>
      </c>
      <c r="AG10" s="159">
        <v>0</v>
      </c>
      <c r="AH10" s="159">
        <v>0</v>
      </c>
      <c r="AI10" s="159">
        <v>0</v>
      </c>
      <c r="AJ10" s="159">
        <v>0</v>
      </c>
      <c r="AK10" s="159">
        <v>0</v>
      </c>
      <c r="AL10" s="159">
        <v>0</v>
      </c>
      <c r="AM10" s="159">
        <v>0</v>
      </c>
      <c r="AN10" s="159">
        <v>0</v>
      </c>
      <c r="AO10" s="159">
        <v>0</v>
      </c>
      <c r="AP10" s="159">
        <v>0</v>
      </c>
      <c r="AQ10" s="159">
        <v>0</v>
      </c>
      <c r="AR10" s="159">
        <v>0</v>
      </c>
      <c r="AS10" s="159">
        <v>0</v>
      </c>
      <c r="AT10" s="159">
        <v>0</v>
      </c>
      <c r="AU10" s="159">
        <v>0</v>
      </c>
      <c r="AV10" s="159">
        <v>0</v>
      </c>
      <c r="AW10" s="159">
        <v>0</v>
      </c>
    </row>
    <row r="11" spans="1:49">
      <c r="D11" s="157" t="s">
        <v>35</v>
      </c>
      <c r="E11" s="168">
        <f>B9*SUM(E10:L10)</f>
        <v>8198.4589127693744</v>
      </c>
      <c r="F11" s="168">
        <f>E11</f>
        <v>8198.4589127693744</v>
      </c>
      <c r="G11" s="168">
        <f t="shared" ref="G11:L11" si="0">F11</f>
        <v>8198.4589127693744</v>
      </c>
      <c r="H11" s="168">
        <f t="shared" si="0"/>
        <v>8198.4589127693744</v>
      </c>
      <c r="I11" s="168">
        <f t="shared" si="0"/>
        <v>8198.4589127693744</v>
      </c>
      <c r="J11" s="168">
        <f t="shared" si="0"/>
        <v>8198.4589127693744</v>
      </c>
      <c r="K11" s="168">
        <f t="shared" si="0"/>
        <v>8198.4589127693744</v>
      </c>
      <c r="L11" s="168">
        <f t="shared" si="0"/>
        <v>8198.4589127693744</v>
      </c>
      <c r="M11" s="145">
        <f t="shared" ref="M11:AW11" si="1">L11</f>
        <v>8198.4589127693744</v>
      </c>
      <c r="N11" s="145">
        <f t="shared" si="1"/>
        <v>8198.4589127693744</v>
      </c>
      <c r="O11" s="145">
        <f t="shared" si="1"/>
        <v>8198.4589127693744</v>
      </c>
      <c r="P11" s="145">
        <f t="shared" si="1"/>
        <v>8198.4589127693744</v>
      </c>
      <c r="Q11" s="145">
        <f t="shared" si="1"/>
        <v>8198.4589127693744</v>
      </c>
      <c r="R11" s="145">
        <f t="shared" si="1"/>
        <v>8198.4589127693744</v>
      </c>
      <c r="S11" s="145">
        <f t="shared" si="1"/>
        <v>8198.4589127693744</v>
      </c>
      <c r="T11" s="145">
        <f t="shared" si="1"/>
        <v>8198.4589127693744</v>
      </c>
      <c r="U11" s="145">
        <f t="shared" si="1"/>
        <v>8198.4589127693744</v>
      </c>
      <c r="V11" s="145">
        <f t="shared" si="1"/>
        <v>8198.4589127693744</v>
      </c>
      <c r="W11" s="145">
        <f t="shared" si="1"/>
        <v>8198.4589127693744</v>
      </c>
      <c r="X11" s="145">
        <f t="shared" si="1"/>
        <v>8198.4589127693744</v>
      </c>
      <c r="Y11" s="145">
        <f t="shared" si="1"/>
        <v>8198.4589127693744</v>
      </c>
      <c r="Z11" s="145">
        <f t="shared" si="1"/>
        <v>8198.4589127693744</v>
      </c>
      <c r="AA11" s="145">
        <f t="shared" si="1"/>
        <v>8198.4589127693744</v>
      </c>
      <c r="AB11" s="145">
        <f t="shared" si="1"/>
        <v>8198.4589127693744</v>
      </c>
      <c r="AC11" s="145">
        <f t="shared" si="1"/>
        <v>8198.4589127693744</v>
      </c>
      <c r="AD11" s="145">
        <f t="shared" si="1"/>
        <v>8198.4589127693744</v>
      </c>
      <c r="AE11" s="145">
        <f t="shared" si="1"/>
        <v>8198.4589127693744</v>
      </c>
      <c r="AF11" s="145">
        <f t="shared" si="1"/>
        <v>8198.4589127693744</v>
      </c>
      <c r="AG11" s="145">
        <f t="shared" si="1"/>
        <v>8198.4589127693744</v>
      </c>
      <c r="AH11" s="145">
        <f t="shared" si="1"/>
        <v>8198.4589127693744</v>
      </c>
      <c r="AI11" s="145">
        <f t="shared" si="1"/>
        <v>8198.4589127693744</v>
      </c>
      <c r="AJ11" s="145">
        <f t="shared" si="1"/>
        <v>8198.4589127693744</v>
      </c>
      <c r="AK11" s="145">
        <f t="shared" si="1"/>
        <v>8198.4589127693744</v>
      </c>
      <c r="AL11" s="145">
        <f t="shared" si="1"/>
        <v>8198.4589127693744</v>
      </c>
      <c r="AM11" s="145">
        <f t="shared" si="1"/>
        <v>8198.4589127693744</v>
      </c>
      <c r="AN11" s="145">
        <f t="shared" si="1"/>
        <v>8198.4589127693744</v>
      </c>
      <c r="AO11" s="145">
        <f t="shared" si="1"/>
        <v>8198.4589127693744</v>
      </c>
      <c r="AP11" s="145">
        <f t="shared" si="1"/>
        <v>8198.4589127693744</v>
      </c>
      <c r="AQ11" s="145">
        <f t="shared" si="1"/>
        <v>8198.4589127693744</v>
      </c>
      <c r="AR11" s="145">
        <f t="shared" si="1"/>
        <v>8198.4589127693744</v>
      </c>
      <c r="AS11" s="145">
        <f t="shared" si="1"/>
        <v>8198.4589127693744</v>
      </c>
      <c r="AT11" s="145">
        <f t="shared" si="1"/>
        <v>8198.4589127693744</v>
      </c>
      <c r="AU11" s="145">
        <f t="shared" si="1"/>
        <v>8198.4589127693744</v>
      </c>
      <c r="AV11" s="145">
        <f t="shared" si="1"/>
        <v>8198.4589127693744</v>
      </c>
      <c r="AW11" s="145">
        <f t="shared" si="1"/>
        <v>8198.4589127693744</v>
      </c>
    </row>
    <row r="12" spans="1:49">
      <c r="A12" s="144" t="s">
        <v>357</v>
      </c>
      <c r="D12" s="157" t="s">
        <v>385</v>
      </c>
      <c r="E12" s="145">
        <f>$B$7*E10</f>
        <v>9385.7509300000002</v>
      </c>
      <c r="F12" s="145">
        <f t="shared" ref="F12:L12" si="2">$B$7*F10</f>
        <v>8334.4750800000002</v>
      </c>
      <c r="G12" s="145">
        <f t="shared" si="2"/>
        <v>0</v>
      </c>
      <c r="H12" s="145">
        <f t="shared" si="2"/>
        <v>0</v>
      </c>
      <c r="I12" s="145">
        <f t="shared" si="2"/>
        <v>0</v>
      </c>
      <c r="J12" s="145">
        <f t="shared" si="2"/>
        <v>0</v>
      </c>
      <c r="K12" s="145">
        <f t="shared" si="2"/>
        <v>0</v>
      </c>
      <c r="L12" s="145">
        <f t="shared" si="2"/>
        <v>0</v>
      </c>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row>
    <row r="13" spans="1:49">
      <c r="A13" s="144" t="s">
        <v>358</v>
      </c>
    </row>
    <row r="14" spans="1:49">
      <c r="A14" s="163"/>
    </row>
    <row r="22" spans="1:11">
      <c r="A22" s="142"/>
      <c r="B22" s="144"/>
    </row>
    <row r="23" spans="1:11">
      <c r="A23" s="142"/>
      <c r="B23" s="144"/>
      <c r="E23" s="144"/>
      <c r="F23" s="144"/>
      <c r="G23" s="144"/>
      <c r="H23" s="144"/>
      <c r="I23" s="144"/>
      <c r="J23" s="144"/>
      <c r="K23" s="144"/>
    </row>
    <row r="25" spans="1:11">
      <c r="F25" s="144"/>
      <c r="G25" s="144"/>
      <c r="H25" s="144"/>
      <c r="I25" s="144"/>
      <c r="J25" s="144"/>
      <c r="K25" s="144"/>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22"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ht="16.5">
      <c r="A1" s="2"/>
      <c r="B1" s="3" t="s">
        <v>343</v>
      </c>
      <c r="C1" s="141" t="s">
        <v>362</v>
      </c>
      <c r="D1" s="3"/>
      <c r="E1" s="3"/>
      <c r="F1" s="3"/>
      <c r="G1" s="3"/>
      <c r="H1" s="3"/>
      <c r="I1" s="3"/>
      <c r="J1" s="3"/>
      <c r="K1" s="3"/>
      <c r="AQ1" s="22"/>
      <c r="AR1" s="22"/>
      <c r="AS1" s="22"/>
      <c r="AT1" s="22"/>
      <c r="AU1" s="22"/>
      <c r="AV1" s="22"/>
      <c r="AW1" s="22"/>
      <c r="AX1" s="22"/>
      <c r="AY1" s="22"/>
      <c r="AZ1" s="22"/>
      <c r="BA1" s="22"/>
      <c r="BB1" s="22"/>
      <c r="BC1" s="22"/>
      <c r="BD1" s="22"/>
    </row>
    <row r="2" spans="1:56" ht="15.75" thickBot="1">
      <c r="AQ2" s="22"/>
      <c r="AR2" s="22"/>
      <c r="AS2" s="22"/>
      <c r="AT2" s="22"/>
      <c r="AU2" s="22"/>
      <c r="AV2" s="22"/>
      <c r="AW2" s="22"/>
      <c r="AX2" s="22"/>
      <c r="AY2" s="22"/>
      <c r="AZ2" s="22"/>
      <c r="BA2" s="22"/>
      <c r="BB2" s="22"/>
      <c r="BC2" s="22"/>
      <c r="BD2" s="22"/>
    </row>
    <row r="3" spans="1:56">
      <c r="B3" s="45" t="s">
        <v>82</v>
      </c>
      <c r="C3" s="46"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c r="B4" s="47">
        <v>16</v>
      </c>
      <c r="C4" s="44">
        <f>INDEX($E$81:$BD$81,1,$C$9+$B4-1)</f>
        <v>0.80019993585433646</v>
      </c>
      <c r="D4" s="9"/>
      <c r="E4" s="9"/>
      <c r="F4" s="86"/>
      <c r="G4" s="9"/>
      <c r="I4" s="40"/>
      <c r="U4" s="17"/>
      <c r="AQ4" s="22"/>
      <c r="AR4" s="22"/>
      <c r="AS4" s="22"/>
      <c r="AT4" s="22"/>
      <c r="AU4" s="22"/>
      <c r="AV4" s="22"/>
      <c r="AW4" s="22"/>
      <c r="AX4" s="22"/>
      <c r="AY4" s="22"/>
      <c r="AZ4" s="22"/>
      <c r="BA4" s="22"/>
      <c r="BB4" s="22"/>
      <c r="BC4" s="22"/>
      <c r="BD4" s="22"/>
    </row>
    <row r="5" spans="1:56">
      <c r="B5" s="47">
        <v>24</v>
      </c>
      <c r="C5" s="44">
        <f>INDEX($E$81:$BD$81,1,$C$9+$B5-1)</f>
        <v>1.3723100185661044</v>
      </c>
      <c r="D5" s="18"/>
      <c r="E5" s="62"/>
      <c r="F5" s="9"/>
      <c r="G5" s="9"/>
      <c r="AQ5" s="22"/>
      <c r="AR5" s="22"/>
      <c r="AS5" s="22"/>
      <c r="AT5" s="22"/>
      <c r="AU5" s="22"/>
      <c r="AV5" s="22"/>
      <c r="AW5" s="22"/>
      <c r="AX5" s="22"/>
      <c r="AY5" s="22"/>
      <c r="AZ5" s="22"/>
      <c r="BA5" s="22"/>
      <c r="BB5" s="22"/>
      <c r="BC5" s="22"/>
      <c r="BD5" s="22"/>
    </row>
    <row r="6" spans="1:56">
      <c r="B6" s="47">
        <v>32</v>
      </c>
      <c r="C6" s="44">
        <f>INDEX($E$81:$BD$81,1,$C$9+$B6-1)</f>
        <v>1.7871982901479899</v>
      </c>
      <c r="D6" s="9"/>
      <c r="E6" s="9"/>
      <c r="F6" s="9"/>
      <c r="G6" s="9"/>
      <c r="AQ6" s="22"/>
      <c r="AR6" s="22"/>
      <c r="AS6" s="22"/>
      <c r="AT6" s="22"/>
      <c r="AU6" s="22"/>
      <c r="AV6" s="22"/>
      <c r="AW6" s="22"/>
      <c r="AX6" s="22"/>
      <c r="AY6" s="22"/>
      <c r="AZ6" s="22"/>
      <c r="BA6" s="22"/>
      <c r="BB6" s="22"/>
      <c r="BC6" s="22"/>
      <c r="BD6" s="22"/>
    </row>
    <row r="7" spans="1:56">
      <c r="B7" s="47">
        <v>45</v>
      </c>
      <c r="C7" s="44">
        <f>INDEX($E$81:$BD$81,1,$C$9+$B7-1)</f>
        <v>2.2183113385673261</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5.75" thickBot="1">
      <c r="B9" s="111" t="s">
        <v>80</v>
      </c>
      <c r="C9" s="135">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0" t="s">
        <v>11</v>
      </c>
      <c r="B13" s="60" t="s">
        <v>158</v>
      </c>
      <c r="C13" s="59"/>
      <c r="D13" s="60" t="s">
        <v>39</v>
      </c>
      <c r="E13" s="61">
        <f>-1*'Workings 1'!E12/1000</f>
        <v>-0.73468199999999972</v>
      </c>
      <c r="F13" s="61">
        <f>-1*'Workings 1'!F12/1000</f>
        <v>-0.65239199999999975</v>
      </c>
      <c r="G13" s="61">
        <f>-1*'Workings 1'!G12/1000</f>
        <v>0</v>
      </c>
      <c r="H13" s="61">
        <f>-1*'Workings 1'!H12/1000</f>
        <v>0</v>
      </c>
      <c r="I13" s="61">
        <f>-1*'Workings 1'!I12/1000</f>
        <v>0</v>
      </c>
      <c r="J13" s="61">
        <f>-1*'Workings 1'!J12/1000</f>
        <v>0</v>
      </c>
      <c r="K13" s="61">
        <f>-1*'Workings 1'!K12/1000</f>
        <v>0</v>
      </c>
      <c r="L13" s="61">
        <f>-1*'Workings 1'!L12/1000</f>
        <v>0</v>
      </c>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c r="A14" s="211"/>
      <c r="B14" s="60" t="s">
        <v>195</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c r="A15" s="211"/>
      <c r="B15" s="60" t="s">
        <v>195</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c r="A16" s="211"/>
      <c r="B16" s="60" t="s">
        <v>195</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c r="A17" s="211"/>
      <c r="B17" s="60" t="s">
        <v>195</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c r="A18" s="212"/>
      <c r="B18" s="122" t="s">
        <v>194</v>
      </c>
      <c r="C18" s="128"/>
      <c r="D18" s="123" t="s">
        <v>39</v>
      </c>
      <c r="E18" s="58">
        <f>SUM(E13:E17)</f>
        <v>-0.73468199999999972</v>
      </c>
      <c r="F18" s="58">
        <f t="shared" ref="F18:AW18" si="0">SUM(F13:F17)</f>
        <v>-0.65239199999999975</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17" t="s">
        <v>298</v>
      </c>
      <c r="B19" s="60" t="s">
        <v>173</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17"/>
      <c r="B20" s="60" t="s">
        <v>158</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17"/>
      <c r="B21" s="60" t="s">
        <v>195</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17"/>
      <c r="B22" s="60" t="s">
        <v>195</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17"/>
      <c r="B23" s="60" t="s">
        <v>195</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17"/>
      <c r="B24" s="60" t="s">
        <v>195</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18"/>
      <c r="B25" s="60" t="s">
        <v>317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c r="A26" s="112"/>
      <c r="B26" s="56" t="s">
        <v>93</v>
      </c>
      <c r="C26" s="57" t="s">
        <v>91</v>
      </c>
      <c r="D26" s="56" t="s">
        <v>39</v>
      </c>
      <c r="E26" s="58">
        <f>E18+E25</f>
        <v>-0.73468199999999972</v>
      </c>
      <c r="F26" s="58">
        <f t="shared" ref="F26:BD26" si="2">F18+F25</f>
        <v>-0.65239199999999975</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3"/>
      <c r="B27" s="9" t="s">
        <v>13</v>
      </c>
      <c r="C27" s="8" t="s">
        <v>40</v>
      </c>
      <c r="D27" s="9" t="s">
        <v>41</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c r="A28" s="113"/>
      <c r="B28" s="9" t="s">
        <v>12</v>
      </c>
      <c r="C28" s="9" t="s">
        <v>42</v>
      </c>
      <c r="D28" s="9" t="s">
        <v>39</v>
      </c>
      <c r="E28" s="34">
        <f>E26*E27</f>
        <v>-0.62447969999999975</v>
      </c>
      <c r="F28" s="34">
        <f t="shared" ref="F28:AW28" si="3">F26*F27</f>
        <v>-0.55453319999999973</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3"/>
      <c r="B29" s="9" t="s">
        <v>90</v>
      </c>
      <c r="C29" s="11" t="s">
        <v>43</v>
      </c>
      <c r="D29" s="9" t="s">
        <v>39</v>
      </c>
      <c r="E29" s="34">
        <f>E26-E28</f>
        <v>-0.11020229999999998</v>
      </c>
      <c r="F29" s="34">
        <f t="shared" ref="F29:AW29" si="4">F26-F28</f>
        <v>-9.7858800000000024E-2</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3"/>
      <c r="B30" s="9" t="s">
        <v>1</v>
      </c>
      <c r="C30" s="11" t="s">
        <v>51</v>
      </c>
      <c r="D30" s="9" t="s">
        <v>39</v>
      </c>
      <c r="F30" s="34">
        <f>$E$28/'Fixed data'!$C$7</f>
        <v>-1.3877326666666662E-2</v>
      </c>
      <c r="G30" s="34">
        <f>$E$28/'Fixed data'!$C$7</f>
        <v>-1.3877326666666662E-2</v>
      </c>
      <c r="H30" s="34">
        <f>$E$28/'Fixed data'!$C$7</f>
        <v>-1.3877326666666662E-2</v>
      </c>
      <c r="I30" s="34">
        <f>$E$28/'Fixed data'!$C$7</f>
        <v>-1.3877326666666662E-2</v>
      </c>
      <c r="J30" s="34">
        <f>$E$28/'Fixed data'!$C$7</f>
        <v>-1.3877326666666662E-2</v>
      </c>
      <c r="K30" s="34">
        <f>$E$28/'Fixed data'!$C$7</f>
        <v>-1.3877326666666662E-2</v>
      </c>
      <c r="L30" s="34">
        <f>$E$28/'Fixed data'!$C$7</f>
        <v>-1.3877326666666662E-2</v>
      </c>
      <c r="M30" s="34">
        <f>$E$28/'Fixed data'!$C$7</f>
        <v>-1.3877326666666662E-2</v>
      </c>
      <c r="N30" s="34">
        <f>$E$28/'Fixed data'!$C$7</f>
        <v>-1.3877326666666662E-2</v>
      </c>
      <c r="O30" s="34">
        <f>$E$28/'Fixed data'!$C$7</f>
        <v>-1.3877326666666662E-2</v>
      </c>
      <c r="P30" s="34">
        <f>$E$28/'Fixed data'!$C$7</f>
        <v>-1.3877326666666662E-2</v>
      </c>
      <c r="Q30" s="34">
        <f>$E$28/'Fixed data'!$C$7</f>
        <v>-1.3877326666666662E-2</v>
      </c>
      <c r="R30" s="34">
        <f>$E$28/'Fixed data'!$C$7</f>
        <v>-1.3877326666666662E-2</v>
      </c>
      <c r="S30" s="34">
        <f>$E$28/'Fixed data'!$C$7</f>
        <v>-1.3877326666666662E-2</v>
      </c>
      <c r="T30" s="34">
        <f>$E$28/'Fixed data'!$C$7</f>
        <v>-1.3877326666666662E-2</v>
      </c>
      <c r="U30" s="34">
        <f>$E$28/'Fixed data'!$C$7</f>
        <v>-1.3877326666666662E-2</v>
      </c>
      <c r="V30" s="34">
        <f>$E$28/'Fixed data'!$C$7</f>
        <v>-1.3877326666666662E-2</v>
      </c>
      <c r="W30" s="34">
        <f>$E$28/'Fixed data'!$C$7</f>
        <v>-1.3877326666666662E-2</v>
      </c>
      <c r="X30" s="34">
        <f>$E$28/'Fixed data'!$C$7</f>
        <v>-1.3877326666666662E-2</v>
      </c>
      <c r="Y30" s="34">
        <f>$E$28/'Fixed data'!$C$7</f>
        <v>-1.3877326666666662E-2</v>
      </c>
      <c r="Z30" s="34">
        <f>$E$28/'Fixed data'!$C$7</f>
        <v>-1.3877326666666662E-2</v>
      </c>
      <c r="AA30" s="34">
        <f>$E$28/'Fixed data'!$C$7</f>
        <v>-1.3877326666666662E-2</v>
      </c>
      <c r="AB30" s="34">
        <f>$E$28/'Fixed data'!$C$7</f>
        <v>-1.3877326666666662E-2</v>
      </c>
      <c r="AC30" s="34">
        <f>$E$28/'Fixed data'!$C$7</f>
        <v>-1.3877326666666662E-2</v>
      </c>
      <c r="AD30" s="34">
        <f>$E$28/'Fixed data'!$C$7</f>
        <v>-1.3877326666666662E-2</v>
      </c>
      <c r="AE30" s="34">
        <f>$E$28/'Fixed data'!$C$7</f>
        <v>-1.3877326666666662E-2</v>
      </c>
      <c r="AF30" s="34">
        <f>$E$28/'Fixed data'!$C$7</f>
        <v>-1.3877326666666662E-2</v>
      </c>
      <c r="AG30" s="34">
        <f>$E$28/'Fixed data'!$C$7</f>
        <v>-1.3877326666666662E-2</v>
      </c>
      <c r="AH30" s="34">
        <f>$E$28/'Fixed data'!$C$7</f>
        <v>-1.3877326666666662E-2</v>
      </c>
      <c r="AI30" s="34">
        <f>$E$28/'Fixed data'!$C$7</f>
        <v>-1.3877326666666662E-2</v>
      </c>
      <c r="AJ30" s="34">
        <f>$E$28/'Fixed data'!$C$7</f>
        <v>-1.3877326666666662E-2</v>
      </c>
      <c r="AK30" s="34">
        <f>$E$28/'Fixed data'!$C$7</f>
        <v>-1.3877326666666662E-2</v>
      </c>
      <c r="AL30" s="34">
        <f>$E$28/'Fixed data'!$C$7</f>
        <v>-1.3877326666666662E-2</v>
      </c>
      <c r="AM30" s="34">
        <f>$E$28/'Fixed data'!$C$7</f>
        <v>-1.3877326666666662E-2</v>
      </c>
      <c r="AN30" s="34">
        <f>$E$28/'Fixed data'!$C$7</f>
        <v>-1.3877326666666662E-2</v>
      </c>
      <c r="AO30" s="34">
        <f>$E$28/'Fixed data'!$C$7</f>
        <v>-1.3877326666666662E-2</v>
      </c>
      <c r="AP30" s="34">
        <f>$E$28/'Fixed data'!$C$7</f>
        <v>-1.3877326666666662E-2</v>
      </c>
      <c r="AQ30" s="34">
        <f>$E$28/'Fixed data'!$C$7</f>
        <v>-1.3877326666666662E-2</v>
      </c>
      <c r="AR30" s="34">
        <f>$E$28/'Fixed data'!$C$7</f>
        <v>-1.3877326666666662E-2</v>
      </c>
      <c r="AS30" s="34">
        <f>$E$28/'Fixed data'!$C$7</f>
        <v>-1.3877326666666662E-2</v>
      </c>
      <c r="AT30" s="34">
        <f>$E$28/'Fixed data'!$C$7</f>
        <v>-1.3877326666666662E-2</v>
      </c>
      <c r="AU30" s="34">
        <f>$E$28/'Fixed data'!$C$7</f>
        <v>-1.3877326666666662E-2</v>
      </c>
      <c r="AV30" s="34">
        <f>$E$28/'Fixed data'!$C$7</f>
        <v>-1.3877326666666662E-2</v>
      </c>
      <c r="AW30" s="34">
        <f>$E$28/'Fixed data'!$C$7</f>
        <v>-1.3877326666666662E-2</v>
      </c>
      <c r="AX30" s="34">
        <f>$E$28/'Fixed data'!$C$7</f>
        <v>-1.3877326666666662E-2</v>
      </c>
      <c r="AY30" s="34"/>
      <c r="AZ30" s="34"/>
      <c r="BA30" s="34"/>
      <c r="BB30" s="34"/>
      <c r="BC30" s="34"/>
      <c r="BD30" s="34"/>
    </row>
    <row r="31" spans="1:56" ht="16.5" hidden="1" customHeight="1" outlineLevel="1">
      <c r="A31" s="113"/>
      <c r="B31" s="9" t="s">
        <v>2</v>
      </c>
      <c r="C31" s="11" t="s">
        <v>52</v>
      </c>
      <c r="D31" s="9" t="s">
        <v>39</v>
      </c>
      <c r="F31" s="34"/>
      <c r="G31" s="34">
        <f>$F$28/'Fixed data'!$C$7</f>
        <v>-1.2322959999999994E-2</v>
      </c>
      <c r="H31" s="34">
        <f>$F$28/'Fixed data'!$C$7</f>
        <v>-1.2322959999999994E-2</v>
      </c>
      <c r="I31" s="34">
        <f>$F$28/'Fixed data'!$C$7</f>
        <v>-1.2322959999999994E-2</v>
      </c>
      <c r="J31" s="34">
        <f>$F$28/'Fixed data'!$C$7</f>
        <v>-1.2322959999999994E-2</v>
      </c>
      <c r="K31" s="34">
        <f>$F$28/'Fixed data'!$C$7</f>
        <v>-1.2322959999999994E-2</v>
      </c>
      <c r="L31" s="34">
        <f>$F$28/'Fixed data'!$C$7</f>
        <v>-1.2322959999999994E-2</v>
      </c>
      <c r="M31" s="34">
        <f>$F$28/'Fixed data'!$C$7</f>
        <v>-1.2322959999999994E-2</v>
      </c>
      <c r="N31" s="34">
        <f>$F$28/'Fixed data'!$C$7</f>
        <v>-1.2322959999999994E-2</v>
      </c>
      <c r="O31" s="34">
        <f>$F$28/'Fixed data'!$C$7</f>
        <v>-1.2322959999999994E-2</v>
      </c>
      <c r="P31" s="34">
        <f>$F$28/'Fixed data'!$C$7</f>
        <v>-1.2322959999999994E-2</v>
      </c>
      <c r="Q31" s="34">
        <f>$F$28/'Fixed data'!$C$7</f>
        <v>-1.2322959999999994E-2</v>
      </c>
      <c r="R31" s="34">
        <f>$F$28/'Fixed data'!$C$7</f>
        <v>-1.2322959999999994E-2</v>
      </c>
      <c r="S31" s="34">
        <f>$F$28/'Fixed data'!$C$7</f>
        <v>-1.2322959999999994E-2</v>
      </c>
      <c r="T31" s="34">
        <f>$F$28/'Fixed data'!$C$7</f>
        <v>-1.2322959999999994E-2</v>
      </c>
      <c r="U31" s="34">
        <f>$F$28/'Fixed data'!$C$7</f>
        <v>-1.2322959999999994E-2</v>
      </c>
      <c r="V31" s="34">
        <f>$F$28/'Fixed data'!$C$7</f>
        <v>-1.2322959999999994E-2</v>
      </c>
      <c r="W31" s="34">
        <f>$F$28/'Fixed data'!$C$7</f>
        <v>-1.2322959999999994E-2</v>
      </c>
      <c r="X31" s="34">
        <f>$F$28/'Fixed data'!$C$7</f>
        <v>-1.2322959999999994E-2</v>
      </c>
      <c r="Y31" s="34">
        <f>$F$28/'Fixed data'!$C$7</f>
        <v>-1.2322959999999994E-2</v>
      </c>
      <c r="Z31" s="34">
        <f>$F$28/'Fixed data'!$C$7</f>
        <v>-1.2322959999999994E-2</v>
      </c>
      <c r="AA31" s="34">
        <f>$F$28/'Fixed data'!$C$7</f>
        <v>-1.2322959999999994E-2</v>
      </c>
      <c r="AB31" s="34">
        <f>$F$28/'Fixed data'!$C$7</f>
        <v>-1.2322959999999994E-2</v>
      </c>
      <c r="AC31" s="34">
        <f>$F$28/'Fixed data'!$C$7</f>
        <v>-1.2322959999999994E-2</v>
      </c>
      <c r="AD31" s="34">
        <f>$F$28/'Fixed data'!$C$7</f>
        <v>-1.2322959999999994E-2</v>
      </c>
      <c r="AE31" s="34">
        <f>$F$28/'Fixed data'!$C$7</f>
        <v>-1.2322959999999994E-2</v>
      </c>
      <c r="AF31" s="34">
        <f>$F$28/'Fixed data'!$C$7</f>
        <v>-1.2322959999999994E-2</v>
      </c>
      <c r="AG31" s="34">
        <f>$F$28/'Fixed data'!$C$7</f>
        <v>-1.2322959999999994E-2</v>
      </c>
      <c r="AH31" s="34">
        <f>$F$28/'Fixed data'!$C$7</f>
        <v>-1.2322959999999994E-2</v>
      </c>
      <c r="AI31" s="34">
        <f>$F$28/'Fixed data'!$C$7</f>
        <v>-1.2322959999999994E-2</v>
      </c>
      <c r="AJ31" s="34">
        <f>$F$28/'Fixed data'!$C$7</f>
        <v>-1.2322959999999994E-2</v>
      </c>
      <c r="AK31" s="34">
        <f>$F$28/'Fixed data'!$C$7</f>
        <v>-1.2322959999999994E-2</v>
      </c>
      <c r="AL31" s="34">
        <f>$F$28/'Fixed data'!$C$7</f>
        <v>-1.2322959999999994E-2</v>
      </c>
      <c r="AM31" s="34">
        <f>$F$28/'Fixed data'!$C$7</f>
        <v>-1.2322959999999994E-2</v>
      </c>
      <c r="AN31" s="34">
        <f>$F$28/'Fixed data'!$C$7</f>
        <v>-1.2322959999999994E-2</v>
      </c>
      <c r="AO31" s="34">
        <f>$F$28/'Fixed data'!$C$7</f>
        <v>-1.2322959999999994E-2</v>
      </c>
      <c r="AP31" s="34">
        <f>$F$28/'Fixed data'!$C$7</f>
        <v>-1.2322959999999994E-2</v>
      </c>
      <c r="AQ31" s="34">
        <f>$F$28/'Fixed data'!$C$7</f>
        <v>-1.2322959999999994E-2</v>
      </c>
      <c r="AR31" s="34">
        <f>$F$28/'Fixed data'!$C$7</f>
        <v>-1.2322959999999994E-2</v>
      </c>
      <c r="AS31" s="34">
        <f>$F$28/'Fixed data'!$C$7</f>
        <v>-1.2322959999999994E-2</v>
      </c>
      <c r="AT31" s="34">
        <f>$F$28/'Fixed data'!$C$7</f>
        <v>-1.2322959999999994E-2</v>
      </c>
      <c r="AU31" s="34">
        <f>$F$28/'Fixed data'!$C$7</f>
        <v>-1.2322959999999994E-2</v>
      </c>
      <c r="AV31" s="34">
        <f>$F$28/'Fixed data'!$C$7</f>
        <v>-1.2322959999999994E-2</v>
      </c>
      <c r="AW31" s="34">
        <f>$F$28/'Fixed data'!$C$7</f>
        <v>-1.2322959999999994E-2</v>
      </c>
      <c r="AX31" s="34">
        <f>$F$28/'Fixed data'!$C$7</f>
        <v>-1.2322959999999994E-2</v>
      </c>
      <c r="AY31" s="34">
        <f>$F$28/'Fixed data'!$C$7</f>
        <v>-1.2322959999999994E-2</v>
      </c>
      <c r="AZ31" s="34"/>
      <c r="BA31" s="34"/>
      <c r="BB31" s="34"/>
      <c r="BC31" s="34"/>
      <c r="BD31" s="34"/>
    </row>
    <row r="32" spans="1:56" ht="16.5" hidden="1" customHeight="1" outlineLevel="1">
      <c r="A32" s="113"/>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c r="A33" s="113"/>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3"/>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3"/>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3"/>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3"/>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3"/>
      <c r="B38" s="9" t="s">
        <v>107</v>
      </c>
      <c r="C38" s="11" t="s">
        <v>129</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3"/>
      <c r="B39" s="9" t="s">
        <v>108</v>
      </c>
      <c r="C39" s="11" t="s">
        <v>130</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3"/>
      <c r="B40" s="9" t="s">
        <v>109</v>
      </c>
      <c r="C40" s="11" t="s">
        <v>131</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3"/>
      <c r="B41" s="9" t="s">
        <v>110</v>
      </c>
      <c r="C41" s="11" t="s">
        <v>132</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3"/>
      <c r="B42" s="9" t="s">
        <v>111</v>
      </c>
      <c r="C42" s="11" t="s">
        <v>133</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3"/>
      <c r="B43" s="9" t="s">
        <v>112</v>
      </c>
      <c r="C43" s="11" t="s">
        <v>134</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3"/>
      <c r="B44" s="9" t="s">
        <v>113</v>
      </c>
      <c r="C44" s="11" t="s">
        <v>135</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3"/>
      <c r="B45" s="9" t="s">
        <v>114</v>
      </c>
      <c r="C45" s="11" t="s">
        <v>136</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3"/>
      <c r="B46" s="9" t="s">
        <v>115</v>
      </c>
      <c r="C46" s="11" t="s">
        <v>137</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3"/>
      <c r="B47" s="9" t="s">
        <v>116</v>
      </c>
      <c r="C47" s="11" t="s">
        <v>138</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3"/>
      <c r="B48" s="9" t="s">
        <v>117</v>
      </c>
      <c r="C48" s="11" t="s">
        <v>139</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3"/>
      <c r="B49" s="9" t="s">
        <v>118</v>
      </c>
      <c r="C49" s="11" t="s">
        <v>140</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3"/>
      <c r="B50" s="9" t="s">
        <v>119</v>
      </c>
      <c r="C50" s="11" t="s">
        <v>141</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3"/>
      <c r="B51" s="9" t="s">
        <v>120</v>
      </c>
      <c r="C51" s="11" t="s">
        <v>142</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3"/>
      <c r="B52" s="9" t="s">
        <v>121</v>
      </c>
      <c r="C52" s="11" t="s">
        <v>143</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3"/>
      <c r="B53" s="9" t="s">
        <v>122</v>
      </c>
      <c r="C53" s="11" t="s">
        <v>144</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3"/>
      <c r="B54" s="9" t="s">
        <v>123</v>
      </c>
      <c r="C54" s="11" t="s">
        <v>145</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3"/>
      <c r="B55" s="9" t="s">
        <v>124</v>
      </c>
      <c r="C55" s="11" t="s">
        <v>146</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3"/>
      <c r="B56" s="9" t="s">
        <v>125</v>
      </c>
      <c r="C56" s="11" t="s">
        <v>147</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3"/>
      <c r="B57" s="9" t="s">
        <v>126</v>
      </c>
      <c r="C57" s="11" t="s">
        <v>148</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3"/>
      <c r="B58" s="9" t="s">
        <v>127</v>
      </c>
      <c r="C58" s="11" t="s">
        <v>149</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3"/>
      <c r="B59" s="9" t="s">
        <v>128</v>
      </c>
      <c r="C59" s="11" t="s">
        <v>150</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c r="A60" s="113"/>
      <c r="B60" s="9" t="s">
        <v>7</v>
      </c>
      <c r="C60" s="9" t="s">
        <v>59</v>
      </c>
      <c r="D60" s="9" t="s">
        <v>39</v>
      </c>
      <c r="E60" s="34">
        <f>SUM(E30:E59)</f>
        <v>0</v>
      </c>
      <c r="F60" s="34">
        <f t="shared" ref="F60:BD60" si="5">SUM(F30:F59)</f>
        <v>-1.3877326666666662E-2</v>
      </c>
      <c r="G60" s="34">
        <f t="shared" si="5"/>
        <v>-2.6200286666666656E-2</v>
      </c>
      <c r="H60" s="34">
        <f t="shared" si="5"/>
        <v>-2.6200286666666656E-2</v>
      </c>
      <c r="I60" s="34">
        <f t="shared" si="5"/>
        <v>-2.6200286666666656E-2</v>
      </c>
      <c r="J60" s="34">
        <f t="shared" si="5"/>
        <v>-2.6200286666666656E-2</v>
      </c>
      <c r="K60" s="34">
        <f t="shared" si="5"/>
        <v>-2.6200286666666656E-2</v>
      </c>
      <c r="L60" s="34">
        <f t="shared" si="5"/>
        <v>-2.6200286666666656E-2</v>
      </c>
      <c r="M60" s="34">
        <f t="shared" si="5"/>
        <v>-2.6200286666666656E-2</v>
      </c>
      <c r="N60" s="34">
        <f t="shared" si="5"/>
        <v>-2.6200286666666656E-2</v>
      </c>
      <c r="O60" s="34">
        <f t="shared" si="5"/>
        <v>-2.6200286666666656E-2</v>
      </c>
      <c r="P60" s="34">
        <f t="shared" si="5"/>
        <v>-2.6200286666666656E-2</v>
      </c>
      <c r="Q60" s="34">
        <f t="shared" si="5"/>
        <v>-2.6200286666666656E-2</v>
      </c>
      <c r="R60" s="34">
        <f t="shared" si="5"/>
        <v>-2.6200286666666656E-2</v>
      </c>
      <c r="S60" s="34">
        <f t="shared" si="5"/>
        <v>-2.6200286666666656E-2</v>
      </c>
      <c r="T60" s="34">
        <f t="shared" si="5"/>
        <v>-2.6200286666666656E-2</v>
      </c>
      <c r="U60" s="34">
        <f t="shared" si="5"/>
        <v>-2.6200286666666656E-2</v>
      </c>
      <c r="V60" s="34">
        <f t="shared" si="5"/>
        <v>-2.6200286666666656E-2</v>
      </c>
      <c r="W60" s="34">
        <f t="shared" si="5"/>
        <v>-2.6200286666666656E-2</v>
      </c>
      <c r="X60" s="34">
        <f t="shared" si="5"/>
        <v>-2.6200286666666656E-2</v>
      </c>
      <c r="Y60" s="34">
        <f t="shared" si="5"/>
        <v>-2.6200286666666656E-2</v>
      </c>
      <c r="Z60" s="34">
        <f t="shared" si="5"/>
        <v>-2.6200286666666656E-2</v>
      </c>
      <c r="AA60" s="34">
        <f t="shared" si="5"/>
        <v>-2.6200286666666656E-2</v>
      </c>
      <c r="AB60" s="34">
        <f t="shared" si="5"/>
        <v>-2.6200286666666656E-2</v>
      </c>
      <c r="AC60" s="34">
        <f t="shared" si="5"/>
        <v>-2.6200286666666656E-2</v>
      </c>
      <c r="AD60" s="34">
        <f t="shared" si="5"/>
        <v>-2.6200286666666656E-2</v>
      </c>
      <c r="AE60" s="34">
        <f t="shared" si="5"/>
        <v>-2.6200286666666656E-2</v>
      </c>
      <c r="AF60" s="34">
        <f t="shared" si="5"/>
        <v>-2.6200286666666656E-2</v>
      </c>
      <c r="AG60" s="34">
        <f t="shared" si="5"/>
        <v>-2.6200286666666656E-2</v>
      </c>
      <c r="AH60" s="34">
        <f t="shared" si="5"/>
        <v>-2.6200286666666656E-2</v>
      </c>
      <c r="AI60" s="34">
        <f t="shared" si="5"/>
        <v>-2.6200286666666656E-2</v>
      </c>
      <c r="AJ60" s="34">
        <f t="shared" si="5"/>
        <v>-2.6200286666666656E-2</v>
      </c>
      <c r="AK60" s="34">
        <f t="shared" si="5"/>
        <v>-2.6200286666666656E-2</v>
      </c>
      <c r="AL60" s="34">
        <f t="shared" si="5"/>
        <v>-2.6200286666666656E-2</v>
      </c>
      <c r="AM60" s="34">
        <f t="shared" si="5"/>
        <v>-2.6200286666666656E-2</v>
      </c>
      <c r="AN60" s="34">
        <f t="shared" si="5"/>
        <v>-2.6200286666666656E-2</v>
      </c>
      <c r="AO60" s="34">
        <f t="shared" si="5"/>
        <v>-2.6200286666666656E-2</v>
      </c>
      <c r="AP60" s="34">
        <f t="shared" si="5"/>
        <v>-2.6200286666666656E-2</v>
      </c>
      <c r="AQ60" s="34">
        <f t="shared" si="5"/>
        <v>-2.6200286666666656E-2</v>
      </c>
      <c r="AR60" s="34">
        <f t="shared" si="5"/>
        <v>-2.6200286666666656E-2</v>
      </c>
      <c r="AS60" s="34">
        <f t="shared" si="5"/>
        <v>-2.6200286666666656E-2</v>
      </c>
      <c r="AT60" s="34">
        <f t="shared" si="5"/>
        <v>-2.6200286666666656E-2</v>
      </c>
      <c r="AU60" s="34">
        <f t="shared" si="5"/>
        <v>-2.6200286666666656E-2</v>
      </c>
      <c r="AV60" s="34">
        <f t="shared" si="5"/>
        <v>-2.6200286666666656E-2</v>
      </c>
      <c r="AW60" s="34">
        <f t="shared" si="5"/>
        <v>-2.6200286666666656E-2</v>
      </c>
      <c r="AX60" s="34">
        <f t="shared" si="5"/>
        <v>-2.6200286666666656E-2</v>
      </c>
      <c r="AY60" s="34">
        <f t="shared" si="5"/>
        <v>-1.2322959999999994E-2</v>
      </c>
      <c r="AZ60" s="34">
        <f t="shared" si="5"/>
        <v>0</v>
      </c>
      <c r="BA60" s="34">
        <f t="shared" si="5"/>
        <v>0</v>
      </c>
      <c r="BB60" s="34">
        <f t="shared" si="5"/>
        <v>0</v>
      </c>
      <c r="BC60" s="34">
        <f t="shared" si="5"/>
        <v>0</v>
      </c>
      <c r="BD60" s="34">
        <f t="shared" si="5"/>
        <v>0</v>
      </c>
    </row>
    <row r="61" spans="1:56" ht="17.25" hidden="1" customHeight="1" outlineLevel="1">
      <c r="A61" s="113"/>
      <c r="B61" s="9" t="s">
        <v>34</v>
      </c>
      <c r="C61" s="9" t="s">
        <v>60</v>
      </c>
      <c r="D61" s="9" t="s">
        <v>39</v>
      </c>
      <c r="E61" s="34">
        <v>0</v>
      </c>
      <c r="F61" s="34">
        <f>E62</f>
        <v>-0.62447969999999975</v>
      </c>
      <c r="G61" s="34">
        <f t="shared" ref="G61:BD61" si="6">F62</f>
        <v>-1.1651355733333328</v>
      </c>
      <c r="H61" s="34">
        <f t="shared" si="6"/>
        <v>-1.1389352866666662</v>
      </c>
      <c r="I61" s="34">
        <f t="shared" si="6"/>
        <v>-1.1127349999999996</v>
      </c>
      <c r="J61" s="34">
        <f t="shared" si="6"/>
        <v>-1.086534713333333</v>
      </c>
      <c r="K61" s="34">
        <f t="shared" si="6"/>
        <v>-1.0603344266666663</v>
      </c>
      <c r="L61" s="34">
        <f t="shared" si="6"/>
        <v>-1.0341341399999997</v>
      </c>
      <c r="M61" s="34">
        <f t="shared" si="6"/>
        <v>-1.0079338533333331</v>
      </c>
      <c r="N61" s="34">
        <f t="shared" si="6"/>
        <v>-0.98173356666666645</v>
      </c>
      <c r="O61" s="34">
        <f t="shared" si="6"/>
        <v>-0.95553327999999982</v>
      </c>
      <c r="P61" s="34">
        <f t="shared" si="6"/>
        <v>-0.92933299333333319</v>
      </c>
      <c r="Q61" s="34">
        <f t="shared" si="6"/>
        <v>-0.90313270666666656</v>
      </c>
      <c r="R61" s="34">
        <f t="shared" si="6"/>
        <v>-0.87693241999999993</v>
      </c>
      <c r="S61" s="34">
        <f t="shared" si="6"/>
        <v>-0.85073213333333331</v>
      </c>
      <c r="T61" s="34">
        <f t="shared" si="6"/>
        <v>-0.82453184666666668</v>
      </c>
      <c r="U61" s="34">
        <f t="shared" si="6"/>
        <v>-0.79833156000000005</v>
      </c>
      <c r="V61" s="34">
        <f t="shared" si="6"/>
        <v>-0.77213127333333342</v>
      </c>
      <c r="W61" s="34">
        <f t="shared" si="6"/>
        <v>-0.7459309866666668</v>
      </c>
      <c r="X61" s="34">
        <f t="shared" si="6"/>
        <v>-0.71973070000000017</v>
      </c>
      <c r="Y61" s="34">
        <f t="shared" si="6"/>
        <v>-0.69353041333333354</v>
      </c>
      <c r="Z61" s="34">
        <f t="shared" si="6"/>
        <v>-0.66733012666666691</v>
      </c>
      <c r="AA61" s="34">
        <f t="shared" si="6"/>
        <v>-0.64112984000000028</v>
      </c>
      <c r="AB61" s="34">
        <f t="shared" si="6"/>
        <v>-0.61492955333333366</v>
      </c>
      <c r="AC61" s="34">
        <f t="shared" si="6"/>
        <v>-0.58872926666666703</v>
      </c>
      <c r="AD61" s="34">
        <f t="shared" si="6"/>
        <v>-0.5625289800000004</v>
      </c>
      <c r="AE61" s="34">
        <f t="shared" si="6"/>
        <v>-0.53632869333333377</v>
      </c>
      <c r="AF61" s="34">
        <f t="shared" si="6"/>
        <v>-0.51012840666666714</v>
      </c>
      <c r="AG61" s="34">
        <f t="shared" si="6"/>
        <v>-0.48392812000000052</v>
      </c>
      <c r="AH61" s="34">
        <f t="shared" si="6"/>
        <v>-0.45772783333333389</v>
      </c>
      <c r="AI61" s="34">
        <f t="shared" si="6"/>
        <v>-0.43152754666666726</v>
      </c>
      <c r="AJ61" s="34">
        <f t="shared" si="6"/>
        <v>-0.40532726000000063</v>
      </c>
      <c r="AK61" s="34">
        <f t="shared" si="6"/>
        <v>-0.37912697333333401</v>
      </c>
      <c r="AL61" s="34">
        <f t="shared" si="6"/>
        <v>-0.35292668666666738</v>
      </c>
      <c r="AM61" s="34">
        <f t="shared" si="6"/>
        <v>-0.32672640000000075</v>
      </c>
      <c r="AN61" s="34">
        <f t="shared" si="6"/>
        <v>-0.30052611333333412</v>
      </c>
      <c r="AO61" s="34">
        <f t="shared" si="6"/>
        <v>-0.27432582666666749</v>
      </c>
      <c r="AP61" s="34">
        <f t="shared" si="6"/>
        <v>-0.24812554000000084</v>
      </c>
      <c r="AQ61" s="34">
        <f t="shared" si="6"/>
        <v>-0.22192525333333418</v>
      </c>
      <c r="AR61" s="34">
        <f t="shared" si="6"/>
        <v>-0.19572496666666753</v>
      </c>
      <c r="AS61" s="34">
        <f t="shared" si="6"/>
        <v>-0.16952468000000087</v>
      </c>
      <c r="AT61" s="34">
        <f t="shared" si="6"/>
        <v>-0.14332439333333422</v>
      </c>
      <c r="AU61" s="34">
        <f t="shared" si="6"/>
        <v>-0.11712410666666756</v>
      </c>
      <c r="AV61" s="34">
        <f t="shared" si="6"/>
        <v>-9.0923820000000904E-2</v>
      </c>
      <c r="AW61" s="34">
        <f t="shared" si="6"/>
        <v>-6.4723533333334249E-2</v>
      </c>
      <c r="AX61" s="34">
        <f t="shared" si="6"/>
        <v>-3.8523246666667593E-2</v>
      </c>
      <c r="AY61" s="34">
        <f t="shared" si="6"/>
        <v>-1.2322960000000938E-2</v>
      </c>
      <c r="AZ61" s="34">
        <f t="shared" si="6"/>
        <v>-9.4368957093138306E-16</v>
      </c>
      <c r="BA61" s="34">
        <f t="shared" si="6"/>
        <v>-9.4368957093138306E-16</v>
      </c>
      <c r="BB61" s="34">
        <f t="shared" si="6"/>
        <v>-9.4368957093138306E-16</v>
      </c>
      <c r="BC61" s="34">
        <f t="shared" si="6"/>
        <v>-9.4368957093138306E-16</v>
      </c>
      <c r="BD61" s="34">
        <f t="shared" si="6"/>
        <v>-9.4368957093138306E-16</v>
      </c>
    </row>
    <row r="62" spans="1:56" ht="16.5" hidden="1" customHeight="1" outlineLevel="1">
      <c r="A62" s="113"/>
      <c r="B62" s="9" t="s">
        <v>33</v>
      </c>
      <c r="C62" s="9" t="s">
        <v>67</v>
      </c>
      <c r="D62" s="9" t="s">
        <v>39</v>
      </c>
      <c r="E62" s="34">
        <f t="shared" ref="E62:BD62" si="7">E28-E60+E61</f>
        <v>-0.62447969999999975</v>
      </c>
      <c r="F62" s="34">
        <f t="shared" si="7"/>
        <v>-1.1651355733333328</v>
      </c>
      <c r="G62" s="34">
        <f t="shared" si="7"/>
        <v>-1.1389352866666662</v>
      </c>
      <c r="H62" s="34">
        <f t="shared" si="7"/>
        <v>-1.1127349999999996</v>
      </c>
      <c r="I62" s="34">
        <f t="shared" si="7"/>
        <v>-1.086534713333333</v>
      </c>
      <c r="J62" s="34">
        <f t="shared" si="7"/>
        <v>-1.0603344266666663</v>
      </c>
      <c r="K62" s="34">
        <f t="shared" si="7"/>
        <v>-1.0341341399999997</v>
      </c>
      <c r="L62" s="34">
        <f t="shared" si="7"/>
        <v>-1.0079338533333331</v>
      </c>
      <c r="M62" s="34">
        <f t="shared" si="7"/>
        <v>-0.98173356666666645</v>
      </c>
      <c r="N62" s="34">
        <f t="shared" si="7"/>
        <v>-0.95553327999999982</v>
      </c>
      <c r="O62" s="34">
        <f t="shared" si="7"/>
        <v>-0.92933299333333319</v>
      </c>
      <c r="P62" s="34">
        <f t="shared" si="7"/>
        <v>-0.90313270666666656</v>
      </c>
      <c r="Q62" s="34">
        <f t="shared" si="7"/>
        <v>-0.87693241999999993</v>
      </c>
      <c r="R62" s="34">
        <f t="shared" si="7"/>
        <v>-0.85073213333333331</v>
      </c>
      <c r="S62" s="34">
        <f t="shared" si="7"/>
        <v>-0.82453184666666668</v>
      </c>
      <c r="T62" s="34">
        <f t="shared" si="7"/>
        <v>-0.79833156000000005</v>
      </c>
      <c r="U62" s="34">
        <f t="shared" si="7"/>
        <v>-0.77213127333333342</v>
      </c>
      <c r="V62" s="34">
        <f t="shared" si="7"/>
        <v>-0.7459309866666668</v>
      </c>
      <c r="W62" s="34">
        <f t="shared" si="7"/>
        <v>-0.71973070000000017</v>
      </c>
      <c r="X62" s="34">
        <f t="shared" si="7"/>
        <v>-0.69353041333333354</v>
      </c>
      <c r="Y62" s="34">
        <f t="shared" si="7"/>
        <v>-0.66733012666666691</v>
      </c>
      <c r="Z62" s="34">
        <f t="shared" si="7"/>
        <v>-0.64112984000000028</v>
      </c>
      <c r="AA62" s="34">
        <f t="shared" si="7"/>
        <v>-0.61492955333333366</v>
      </c>
      <c r="AB62" s="34">
        <f t="shared" si="7"/>
        <v>-0.58872926666666703</v>
      </c>
      <c r="AC62" s="34">
        <f t="shared" si="7"/>
        <v>-0.5625289800000004</v>
      </c>
      <c r="AD62" s="34">
        <f t="shared" si="7"/>
        <v>-0.53632869333333377</v>
      </c>
      <c r="AE62" s="34">
        <f t="shared" si="7"/>
        <v>-0.51012840666666714</v>
      </c>
      <c r="AF62" s="34">
        <f t="shared" si="7"/>
        <v>-0.48392812000000052</v>
      </c>
      <c r="AG62" s="34">
        <f t="shared" si="7"/>
        <v>-0.45772783333333389</v>
      </c>
      <c r="AH62" s="34">
        <f t="shared" si="7"/>
        <v>-0.43152754666666726</v>
      </c>
      <c r="AI62" s="34">
        <f t="shared" si="7"/>
        <v>-0.40532726000000063</v>
      </c>
      <c r="AJ62" s="34">
        <f t="shared" si="7"/>
        <v>-0.37912697333333401</v>
      </c>
      <c r="AK62" s="34">
        <f t="shared" si="7"/>
        <v>-0.35292668666666738</v>
      </c>
      <c r="AL62" s="34">
        <f t="shared" si="7"/>
        <v>-0.32672640000000075</v>
      </c>
      <c r="AM62" s="34">
        <f t="shared" si="7"/>
        <v>-0.30052611333333412</v>
      </c>
      <c r="AN62" s="34">
        <f t="shared" si="7"/>
        <v>-0.27432582666666749</v>
      </c>
      <c r="AO62" s="34">
        <f t="shared" si="7"/>
        <v>-0.24812554000000084</v>
      </c>
      <c r="AP62" s="34">
        <f t="shared" si="7"/>
        <v>-0.22192525333333418</v>
      </c>
      <c r="AQ62" s="34">
        <f t="shared" si="7"/>
        <v>-0.19572496666666753</v>
      </c>
      <c r="AR62" s="34">
        <f t="shared" si="7"/>
        <v>-0.16952468000000087</v>
      </c>
      <c r="AS62" s="34">
        <f t="shared" si="7"/>
        <v>-0.14332439333333422</v>
      </c>
      <c r="AT62" s="34">
        <f t="shared" si="7"/>
        <v>-0.11712410666666756</v>
      </c>
      <c r="AU62" s="34">
        <f t="shared" si="7"/>
        <v>-9.0923820000000904E-2</v>
      </c>
      <c r="AV62" s="34">
        <f t="shared" si="7"/>
        <v>-6.4723533333334249E-2</v>
      </c>
      <c r="AW62" s="34">
        <f t="shared" si="7"/>
        <v>-3.8523246666667593E-2</v>
      </c>
      <c r="AX62" s="34">
        <f t="shared" si="7"/>
        <v>-1.2322960000000938E-2</v>
      </c>
      <c r="AY62" s="34">
        <f t="shared" si="7"/>
        <v>-9.4368957093138306E-16</v>
      </c>
      <c r="AZ62" s="34">
        <f t="shared" si="7"/>
        <v>-9.4368957093138306E-16</v>
      </c>
      <c r="BA62" s="34">
        <f t="shared" si="7"/>
        <v>-9.4368957093138306E-16</v>
      </c>
      <c r="BB62" s="34">
        <f t="shared" si="7"/>
        <v>-9.4368957093138306E-16</v>
      </c>
      <c r="BC62" s="34">
        <f t="shared" si="7"/>
        <v>-9.4368957093138306E-16</v>
      </c>
      <c r="BD62" s="34">
        <f t="shared" si="7"/>
        <v>-9.4368957093138306E-16</v>
      </c>
    </row>
    <row r="63" spans="1:56" ht="16.5" collapsed="1">
      <c r="A63" s="113"/>
      <c r="B63" s="9" t="s">
        <v>8</v>
      </c>
      <c r="C63" s="11" t="s">
        <v>66</v>
      </c>
      <c r="D63" s="9" t="s">
        <v>39</v>
      </c>
      <c r="E63" s="34">
        <f>AVERAGE(E61:E62)*'Fixed data'!$C$3</f>
        <v>-1.4113241219999994E-2</v>
      </c>
      <c r="F63" s="34">
        <f>AVERAGE(F61:F62)*'Fixed data'!$C$3</f>
        <v>-4.0445305177333316E-2</v>
      </c>
      <c r="G63" s="34">
        <f>AVERAGE(G61:G62)*'Fixed data'!$C$3</f>
        <v>-5.2072001435999972E-2</v>
      </c>
      <c r="H63" s="34">
        <f>AVERAGE(H61:H62)*'Fixed data'!$C$3</f>
        <v>-5.0887748478666645E-2</v>
      </c>
      <c r="I63" s="34">
        <f>AVERAGE(I61:I62)*'Fixed data'!$C$3</f>
        <v>-4.970349552133331E-2</v>
      </c>
      <c r="J63" s="34">
        <f>AVERAGE(J61:J62)*'Fixed data'!$C$3</f>
        <v>-4.8519242563999983E-2</v>
      </c>
      <c r="K63" s="34">
        <f>AVERAGE(K61:K62)*'Fixed data'!$C$3</f>
        <v>-4.7334989606666648E-2</v>
      </c>
      <c r="L63" s="34">
        <f>AVERAGE(L61:L62)*'Fixed data'!$C$3</f>
        <v>-4.6150736649333321E-2</v>
      </c>
      <c r="M63" s="34">
        <f>AVERAGE(M61:M62)*'Fixed data'!$C$3</f>
        <v>-4.4966483691999987E-2</v>
      </c>
      <c r="N63" s="34">
        <f>AVERAGE(N61:N62)*'Fixed data'!$C$3</f>
        <v>-4.3782230734666652E-2</v>
      </c>
      <c r="O63" s="34">
        <f>AVERAGE(O61:O62)*'Fixed data'!$C$3</f>
        <v>-4.2597977777333325E-2</v>
      </c>
      <c r="P63" s="34">
        <f>AVERAGE(P61:P62)*'Fixed data'!$C$3</f>
        <v>-4.1413724819999991E-2</v>
      </c>
      <c r="Q63" s="34">
        <f>AVERAGE(Q61:Q62)*'Fixed data'!$C$3</f>
        <v>-4.0229471862666663E-2</v>
      </c>
      <c r="R63" s="34">
        <f>AVERAGE(R61:R62)*'Fixed data'!$C$3</f>
        <v>-3.9045218905333329E-2</v>
      </c>
      <c r="S63" s="34">
        <f>AVERAGE(S61:S62)*'Fixed data'!$C$3</f>
        <v>-3.7860965947999994E-2</v>
      </c>
      <c r="T63" s="34">
        <f>AVERAGE(T61:T62)*'Fixed data'!$C$3</f>
        <v>-3.6676712990666667E-2</v>
      </c>
      <c r="U63" s="34">
        <f>AVERAGE(U61:U62)*'Fixed data'!$C$3</f>
        <v>-3.5492460033333333E-2</v>
      </c>
      <c r="V63" s="34">
        <f>AVERAGE(V61:V62)*'Fixed data'!$C$3</f>
        <v>-3.4308207076000005E-2</v>
      </c>
      <c r="W63" s="34">
        <f>AVERAGE(W61:W62)*'Fixed data'!$C$3</f>
        <v>-3.3123954118666671E-2</v>
      </c>
      <c r="X63" s="34">
        <f>AVERAGE(X61:X62)*'Fixed data'!$C$3</f>
        <v>-3.1939701161333336E-2</v>
      </c>
      <c r="Y63" s="34">
        <f>AVERAGE(Y61:Y62)*'Fixed data'!$C$3</f>
        <v>-3.0755448204000009E-2</v>
      </c>
      <c r="Z63" s="34">
        <f>AVERAGE(Z61:Z62)*'Fixed data'!$C$3</f>
        <v>-2.9571195246666678E-2</v>
      </c>
      <c r="AA63" s="34">
        <f>AVERAGE(AA61:AA62)*'Fixed data'!$C$3</f>
        <v>-2.8386942289333344E-2</v>
      </c>
      <c r="AB63" s="34">
        <f>AVERAGE(AB61:AB62)*'Fixed data'!$C$3</f>
        <v>-2.7202689332000013E-2</v>
      </c>
      <c r="AC63" s="34">
        <f>AVERAGE(AC61:AC62)*'Fixed data'!$C$3</f>
        <v>-2.6018436374666682E-2</v>
      </c>
      <c r="AD63" s="34">
        <f>AVERAGE(AD61:AD62)*'Fixed data'!$C$3</f>
        <v>-2.4834183417333351E-2</v>
      </c>
      <c r="AE63" s="34">
        <f>AVERAGE(AE61:AE62)*'Fixed data'!$C$3</f>
        <v>-2.364993046000002E-2</v>
      </c>
      <c r="AF63" s="34">
        <f>AVERAGE(AF61:AF62)*'Fixed data'!$C$3</f>
        <v>-2.2465677502666689E-2</v>
      </c>
      <c r="AG63" s="34">
        <f>AVERAGE(AG61:AG62)*'Fixed data'!$C$3</f>
        <v>-2.1281424545333355E-2</v>
      </c>
      <c r="AH63" s="34">
        <f>AVERAGE(AH61:AH62)*'Fixed data'!$C$3</f>
        <v>-2.0097171588000024E-2</v>
      </c>
      <c r="AI63" s="34">
        <f>AVERAGE(AI61:AI62)*'Fixed data'!$C$3</f>
        <v>-1.8912918630666693E-2</v>
      </c>
      <c r="AJ63" s="34">
        <f>AVERAGE(AJ61:AJ62)*'Fixed data'!$C$3</f>
        <v>-1.7728665673333362E-2</v>
      </c>
      <c r="AK63" s="34">
        <f>AVERAGE(AK61:AK62)*'Fixed data'!$C$3</f>
        <v>-1.6544412716000031E-2</v>
      </c>
      <c r="AL63" s="34">
        <f>AVERAGE(AL61:AL62)*'Fixed data'!$C$3</f>
        <v>-1.5360159758666699E-2</v>
      </c>
      <c r="AM63" s="34">
        <f>AVERAGE(AM61:AM62)*'Fixed data'!$C$3</f>
        <v>-1.4175906801333368E-2</v>
      </c>
      <c r="AN63" s="34">
        <f>AVERAGE(AN61:AN62)*'Fixed data'!$C$3</f>
        <v>-1.2991653844000035E-2</v>
      </c>
      <c r="AO63" s="34">
        <f>AVERAGE(AO61:AO62)*'Fixed data'!$C$3</f>
        <v>-1.1807400886666704E-2</v>
      </c>
      <c r="AP63" s="34">
        <f>AVERAGE(AP61:AP62)*'Fixed data'!$C$3</f>
        <v>-1.062314792933337E-2</v>
      </c>
      <c r="AQ63" s="34">
        <f>AVERAGE(AQ61:AQ62)*'Fixed data'!$C$3</f>
        <v>-9.4388949720000392E-3</v>
      </c>
      <c r="AR63" s="34">
        <f>AVERAGE(AR61:AR62)*'Fixed data'!$C$3</f>
        <v>-8.2546420146667049E-3</v>
      </c>
      <c r="AS63" s="34">
        <f>AVERAGE(AS61:AS62)*'Fixed data'!$C$3</f>
        <v>-7.0703890573333731E-3</v>
      </c>
      <c r="AT63" s="34">
        <f>AVERAGE(AT61:AT62)*'Fixed data'!$C$3</f>
        <v>-5.8861361000000388E-3</v>
      </c>
      <c r="AU63" s="34">
        <f>AVERAGE(AU61:AU62)*'Fixed data'!$C$3</f>
        <v>-4.701883142666707E-3</v>
      </c>
      <c r="AV63" s="34">
        <f>AVERAGE(AV61:AV62)*'Fixed data'!$C$3</f>
        <v>-3.5176301853333744E-3</v>
      </c>
      <c r="AW63" s="34">
        <f>AVERAGE(AW61:AW62)*'Fixed data'!$C$3</f>
        <v>-2.3333772280000414E-3</v>
      </c>
      <c r="AX63" s="34">
        <f>AVERAGE(AX61:AX62)*'Fixed data'!$C$3</f>
        <v>-1.1491242706667087E-3</v>
      </c>
      <c r="AY63" s="34">
        <f>AVERAGE(AY61:AY62)*'Fixed data'!$C$3</f>
        <v>-2.7849889600004251E-4</v>
      </c>
      <c r="AZ63" s="34">
        <f>AVERAGE(AZ61:AZ62)*'Fixed data'!$C$3</f>
        <v>-4.2654768606098513E-17</v>
      </c>
      <c r="BA63" s="34">
        <f>AVERAGE(BA61:BA62)*'Fixed data'!$C$3</f>
        <v>-4.2654768606098513E-17</v>
      </c>
      <c r="BB63" s="34">
        <f>AVERAGE(BB61:BB62)*'Fixed data'!$C$3</f>
        <v>-4.2654768606098513E-17</v>
      </c>
      <c r="BC63" s="34">
        <f>AVERAGE(BC61:BC62)*'Fixed data'!$C$3</f>
        <v>-4.2654768606098513E-17</v>
      </c>
      <c r="BD63" s="34">
        <f>AVERAGE(BD61:BD62)*'Fixed data'!$C$3</f>
        <v>-4.2654768606098513E-17</v>
      </c>
    </row>
    <row r="64" spans="1:56" ht="15.75" thickBot="1">
      <c r="A64" s="112"/>
      <c r="B64" s="12" t="s">
        <v>92</v>
      </c>
      <c r="C64" s="12" t="s">
        <v>44</v>
      </c>
      <c r="D64" s="12" t="s">
        <v>39</v>
      </c>
      <c r="E64" s="52">
        <f t="shared" ref="E64:BD64" si="8">E29+E60+E63</f>
        <v>-0.12431554121999996</v>
      </c>
      <c r="F64" s="52">
        <f t="shared" si="8"/>
        <v>-0.15218143184400001</v>
      </c>
      <c r="G64" s="52">
        <f t="shared" si="8"/>
        <v>-7.8272288102666621E-2</v>
      </c>
      <c r="H64" s="52">
        <f t="shared" si="8"/>
        <v>-7.70880351453333E-2</v>
      </c>
      <c r="I64" s="52">
        <f t="shared" si="8"/>
        <v>-7.5903782187999966E-2</v>
      </c>
      <c r="J64" s="52">
        <f t="shared" si="8"/>
        <v>-7.4719529230666631E-2</v>
      </c>
      <c r="K64" s="52">
        <f t="shared" si="8"/>
        <v>-7.3535276273333311E-2</v>
      </c>
      <c r="L64" s="52">
        <f t="shared" si="8"/>
        <v>-7.2351023315999977E-2</v>
      </c>
      <c r="M64" s="52">
        <f t="shared" si="8"/>
        <v>-7.1166770358666642E-2</v>
      </c>
      <c r="N64" s="52">
        <f t="shared" si="8"/>
        <v>-6.9982517401333308E-2</v>
      </c>
      <c r="O64" s="52">
        <f t="shared" si="8"/>
        <v>-6.8798264443999974E-2</v>
      </c>
      <c r="P64" s="52">
        <f t="shared" si="8"/>
        <v>-6.7614011486666653E-2</v>
      </c>
      <c r="Q64" s="52">
        <f t="shared" si="8"/>
        <v>-6.6429758529333319E-2</v>
      </c>
      <c r="R64" s="52">
        <f t="shared" si="8"/>
        <v>-6.5245505571999984E-2</v>
      </c>
      <c r="S64" s="52">
        <f t="shared" si="8"/>
        <v>-6.406125261466665E-2</v>
      </c>
      <c r="T64" s="52">
        <f t="shared" si="8"/>
        <v>-6.2876999657333316E-2</v>
      </c>
      <c r="U64" s="52">
        <f t="shared" si="8"/>
        <v>-6.1692746699999988E-2</v>
      </c>
      <c r="V64" s="52">
        <f t="shared" si="8"/>
        <v>-6.0508493742666661E-2</v>
      </c>
      <c r="W64" s="52">
        <f t="shared" si="8"/>
        <v>-5.9324240785333326E-2</v>
      </c>
      <c r="X64" s="52">
        <f t="shared" si="8"/>
        <v>-5.8139987827999992E-2</v>
      </c>
      <c r="Y64" s="52">
        <f t="shared" si="8"/>
        <v>-5.6955734870666665E-2</v>
      </c>
      <c r="Z64" s="52">
        <f t="shared" si="8"/>
        <v>-5.5771481913333337E-2</v>
      </c>
      <c r="AA64" s="52">
        <f t="shared" si="8"/>
        <v>-5.4587228956000003E-2</v>
      </c>
      <c r="AB64" s="52">
        <f t="shared" si="8"/>
        <v>-5.3402975998666669E-2</v>
      </c>
      <c r="AC64" s="52">
        <f t="shared" si="8"/>
        <v>-5.2218723041333334E-2</v>
      </c>
      <c r="AD64" s="52">
        <f t="shared" si="8"/>
        <v>-5.1034470084000007E-2</v>
      </c>
      <c r="AE64" s="52">
        <f t="shared" si="8"/>
        <v>-4.9850217126666679E-2</v>
      </c>
      <c r="AF64" s="52">
        <f t="shared" si="8"/>
        <v>-4.8665964169333345E-2</v>
      </c>
      <c r="AG64" s="52">
        <f t="shared" si="8"/>
        <v>-4.7481711212000011E-2</v>
      </c>
      <c r="AH64" s="52">
        <f t="shared" si="8"/>
        <v>-4.6297458254666676E-2</v>
      </c>
      <c r="AI64" s="52">
        <f t="shared" si="8"/>
        <v>-4.5113205297333349E-2</v>
      </c>
      <c r="AJ64" s="52">
        <f t="shared" si="8"/>
        <v>-4.3928952340000021E-2</v>
      </c>
      <c r="AK64" s="52">
        <f t="shared" si="8"/>
        <v>-4.2744699382666687E-2</v>
      </c>
      <c r="AL64" s="52">
        <f t="shared" si="8"/>
        <v>-4.1560446425333353E-2</v>
      </c>
      <c r="AM64" s="52">
        <f t="shared" si="8"/>
        <v>-4.0376193468000025E-2</v>
      </c>
      <c r="AN64" s="52">
        <f t="shared" si="8"/>
        <v>-3.9191940510666691E-2</v>
      </c>
      <c r="AO64" s="52">
        <f t="shared" si="8"/>
        <v>-3.8007687553333364E-2</v>
      </c>
      <c r="AP64" s="52">
        <f t="shared" si="8"/>
        <v>-3.6823434596000029E-2</v>
      </c>
      <c r="AQ64" s="52">
        <f t="shared" si="8"/>
        <v>-3.5639181638666695E-2</v>
      </c>
      <c r="AR64" s="52">
        <f t="shared" si="8"/>
        <v>-3.4454928681333361E-2</v>
      </c>
      <c r="AS64" s="52">
        <f t="shared" si="8"/>
        <v>-3.3270675724000026E-2</v>
      </c>
      <c r="AT64" s="52">
        <f t="shared" si="8"/>
        <v>-3.2086422766666692E-2</v>
      </c>
      <c r="AU64" s="52">
        <f t="shared" si="8"/>
        <v>-3.0902169809333364E-2</v>
      </c>
      <c r="AV64" s="52">
        <f t="shared" si="8"/>
        <v>-2.971791685200003E-2</v>
      </c>
      <c r="AW64" s="52">
        <f t="shared" si="8"/>
        <v>-2.8533663894666696E-2</v>
      </c>
      <c r="AX64" s="52">
        <f t="shared" si="8"/>
        <v>-2.7349410937333365E-2</v>
      </c>
      <c r="AY64" s="52">
        <f t="shared" si="8"/>
        <v>-1.2601458896000036E-2</v>
      </c>
      <c r="AZ64" s="52">
        <f t="shared" si="8"/>
        <v>-4.2654768606098513E-17</v>
      </c>
      <c r="BA64" s="52">
        <f t="shared" si="8"/>
        <v>-4.2654768606098513E-17</v>
      </c>
      <c r="BB64" s="52">
        <f t="shared" si="8"/>
        <v>-4.2654768606098513E-17</v>
      </c>
      <c r="BC64" s="52">
        <f t="shared" si="8"/>
        <v>-4.2654768606098513E-17</v>
      </c>
      <c r="BD64" s="52">
        <f t="shared" si="8"/>
        <v>-4.2654768606098513E-17</v>
      </c>
    </row>
    <row r="65" spans="1:56" ht="12.75" customHeight="1">
      <c r="A65" s="206" t="s">
        <v>227</v>
      </c>
      <c r="B65" s="9" t="s">
        <v>35</v>
      </c>
      <c r="D65" s="4" t="s">
        <v>39</v>
      </c>
      <c r="E65" s="34">
        <f>'Fixed data'!$G$6*E86/1000000</f>
        <v>0</v>
      </c>
      <c r="F65" s="34">
        <f>'Fixed data'!$G$6*F86/1000000</f>
        <v>6.9515299540982817E-2</v>
      </c>
      <c r="G65" s="34">
        <f>'Fixed data'!$G$6*G86/1000000</f>
        <v>0.13124435414983515</v>
      </c>
      <c r="H65" s="34">
        <f>'Fixed data'!$G$6*H86/1000000</f>
        <v>0.13124435414983515</v>
      </c>
      <c r="I65" s="34">
        <f>'Fixed data'!$G$6*I86/1000000</f>
        <v>0.13124435414983515</v>
      </c>
      <c r="J65" s="34">
        <f>'Fixed data'!$G$6*J86/1000000</f>
        <v>0.13124435414983515</v>
      </c>
      <c r="K65" s="34">
        <f>'Fixed data'!$G$6*K86/1000000</f>
        <v>0.13124435414983515</v>
      </c>
      <c r="L65" s="34">
        <f>'Fixed data'!$G$6*L86/1000000</f>
        <v>0.13124435414983515</v>
      </c>
      <c r="M65" s="34">
        <f>'Fixed data'!$G$6*M86/1000000</f>
        <v>0.13124435414983515</v>
      </c>
      <c r="N65" s="34">
        <f>'Fixed data'!$G$6*N86/1000000</f>
        <v>0.13124435414983515</v>
      </c>
      <c r="O65" s="34">
        <f>'Fixed data'!$G$6*O86/1000000</f>
        <v>0.13124435414983515</v>
      </c>
      <c r="P65" s="34">
        <f>'Fixed data'!$G$6*P86/1000000</f>
        <v>0.13124435414983515</v>
      </c>
      <c r="Q65" s="34">
        <f>'Fixed data'!$G$6*Q86/1000000</f>
        <v>0.13124435414983515</v>
      </c>
      <c r="R65" s="34">
        <f>'Fixed data'!$G$6*R86/1000000</f>
        <v>0.13124435414983515</v>
      </c>
      <c r="S65" s="34">
        <f>'Fixed data'!$G$6*S86/1000000</f>
        <v>0.13124435414983515</v>
      </c>
      <c r="T65" s="34">
        <f>'Fixed data'!$G$6*T86/1000000</f>
        <v>0.13124435414983515</v>
      </c>
      <c r="U65" s="34">
        <f>'Fixed data'!$G$6*U86/1000000</f>
        <v>0.13124435414983515</v>
      </c>
      <c r="V65" s="34">
        <f>'Fixed data'!$G$6*V86/1000000</f>
        <v>0.13124435414983515</v>
      </c>
      <c r="W65" s="34">
        <f>'Fixed data'!$G$6*W86/1000000</f>
        <v>0.13124435414983515</v>
      </c>
      <c r="X65" s="34">
        <f>'Fixed data'!$G$6*X86/1000000</f>
        <v>0.13124435414983515</v>
      </c>
      <c r="Y65" s="34">
        <f>'Fixed data'!$G$6*Y86/1000000</f>
        <v>0.13124435414983515</v>
      </c>
      <c r="Z65" s="34">
        <f>'Fixed data'!$G$6*Z86/1000000</f>
        <v>0.13124435414983515</v>
      </c>
      <c r="AA65" s="34">
        <f>'Fixed data'!$G$6*AA86/1000000</f>
        <v>0.13124435414983515</v>
      </c>
      <c r="AB65" s="34">
        <f>'Fixed data'!$G$6*AB86/1000000</f>
        <v>0.13124435414983515</v>
      </c>
      <c r="AC65" s="34">
        <f>'Fixed data'!$G$6*AC86/1000000</f>
        <v>0.13124435414983515</v>
      </c>
      <c r="AD65" s="34">
        <f>'Fixed data'!$G$6*AD86/1000000</f>
        <v>0.13124435414983515</v>
      </c>
      <c r="AE65" s="34">
        <f>'Fixed data'!$G$6*AE86/1000000</f>
        <v>0.13124435414983515</v>
      </c>
      <c r="AF65" s="34">
        <f>'Fixed data'!$G$6*AF86/1000000</f>
        <v>0.13124435414983515</v>
      </c>
      <c r="AG65" s="34">
        <f>'Fixed data'!$G$6*AG86/1000000</f>
        <v>0.13124435414983515</v>
      </c>
      <c r="AH65" s="34">
        <f>'Fixed data'!$G$6*AH86/1000000</f>
        <v>0.13124435414983515</v>
      </c>
      <c r="AI65" s="34">
        <f>'Fixed data'!$G$6*AI86/1000000</f>
        <v>0.13124435414983515</v>
      </c>
      <c r="AJ65" s="34">
        <f>'Fixed data'!$G$6*AJ86/1000000</f>
        <v>0.13124435414983515</v>
      </c>
      <c r="AK65" s="34">
        <f>'Fixed data'!$G$6*AK86/1000000</f>
        <v>0.13124435414983515</v>
      </c>
      <c r="AL65" s="34">
        <f>'Fixed data'!$G$6*AL86/1000000</f>
        <v>0.13124435414983515</v>
      </c>
      <c r="AM65" s="34">
        <f>'Fixed data'!$G$6*AM86/1000000</f>
        <v>0.13124435414983515</v>
      </c>
      <c r="AN65" s="34">
        <f>'Fixed data'!$G$6*AN86/1000000</f>
        <v>0.13124435414983515</v>
      </c>
      <c r="AO65" s="34">
        <f>'Fixed data'!$G$6*AO86/1000000</f>
        <v>0.13124435414983515</v>
      </c>
      <c r="AP65" s="34">
        <f>'Fixed data'!$G$6*AP86/1000000</f>
        <v>0.13124435414983515</v>
      </c>
      <c r="AQ65" s="34">
        <f>'Fixed data'!$G$6*AQ86/1000000</f>
        <v>0.13124435414983515</v>
      </c>
      <c r="AR65" s="34">
        <f>'Fixed data'!$G$6*AR86/1000000</f>
        <v>0.13124435414983515</v>
      </c>
      <c r="AS65" s="34">
        <f>'Fixed data'!$G$6*AS86/1000000</f>
        <v>0.13124435414983515</v>
      </c>
      <c r="AT65" s="34">
        <f>'Fixed data'!$G$6*AT86/1000000</f>
        <v>0.13124435414983515</v>
      </c>
      <c r="AU65" s="34">
        <f>'Fixed data'!$G$6*AU86/1000000</f>
        <v>0.13124435414983515</v>
      </c>
      <c r="AV65" s="34">
        <f>'Fixed data'!$G$6*AV86/1000000</f>
        <v>0.13124435414983515</v>
      </c>
      <c r="AW65" s="34">
        <f>'Fixed data'!$G$6*AW86/1000000</f>
        <v>0.13124435414983515</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07"/>
      <c r="B66" s="9" t="s">
        <v>199</v>
      </c>
      <c r="D66" s="4" t="s">
        <v>39</v>
      </c>
      <c r="E66" s="34">
        <f>E87*'Fixed data'!H$5/1000000</f>
        <v>0</v>
      </c>
      <c r="F66" s="34">
        <f>F87*'Fixed data'!I$5/1000000</f>
        <v>5.3777973456763982E-3</v>
      </c>
      <c r="G66" s="34">
        <f>G87*'Fixed data'!J$5/1000000</f>
        <v>1.0476280667765937E-2</v>
      </c>
      <c r="H66" s="34">
        <f>H87*'Fixed data'!K$5/1000000</f>
        <v>1.0801472951811027E-2</v>
      </c>
      <c r="I66" s="34">
        <f>I87*'Fixed data'!L$5/1000000</f>
        <v>1.1138023830785064E-2</v>
      </c>
      <c r="J66" s="34">
        <f>J87*'Fixed data'!M$5/1000000</f>
        <v>1.9231351622968081E-2</v>
      </c>
      <c r="K66" s="34">
        <f>K87*'Fixed data'!N$5/1000000</f>
        <v>2.6755040690538124E-2</v>
      </c>
      <c r="L66" s="34">
        <f>L87*'Fixed data'!O$5/1000000</f>
        <v>3.3709091033495189E-2</v>
      </c>
      <c r="M66" s="34">
        <f>M87*'Fixed data'!P$5/1000000</f>
        <v>4.0093502651839294E-2</v>
      </c>
      <c r="N66" s="34">
        <f>N87*'Fixed data'!Q$5/1000000</f>
        <v>4.5908275545570421E-2</v>
      </c>
      <c r="O66" s="34">
        <f>O87*'Fixed data'!R$5/1000000</f>
        <v>5.1153409714688569E-2</v>
      </c>
      <c r="P66" s="34">
        <f>P87*'Fixed data'!S$5/1000000</f>
        <v>5.582890515919374E-2</v>
      </c>
      <c r="Q66" s="34">
        <f>Q87*'Fixed data'!T$5/1000000</f>
        <v>5.9934761879085939E-2</v>
      </c>
      <c r="R66" s="34">
        <f>R87*'Fixed data'!U$5/1000000</f>
        <v>6.3470979874365188E-2</v>
      </c>
      <c r="S66" s="34">
        <f>S87*'Fixed data'!V$5/1000000</f>
        <v>6.6437559145031438E-2</v>
      </c>
      <c r="T66" s="34">
        <f>T87*'Fixed data'!W$5/1000000</f>
        <v>6.7697844523772033E-2</v>
      </c>
      <c r="U66" s="34">
        <f>U87*'Fixed data'!X$5/1000000</f>
        <v>6.9812939632897766E-2</v>
      </c>
      <c r="V66" s="34">
        <f>V87*'Fixed data'!Y$5/1000000</f>
        <v>7.1333776758075562E-2</v>
      </c>
      <c r="W66" s="34">
        <f>W87*'Fixed data'!Z$5/1000000</f>
        <v>7.2260355899305406E-2</v>
      </c>
      <c r="X66" s="34">
        <f>X87*'Fixed data'!AA$5/1000000</f>
        <v>7.2592677056587271E-2</v>
      </c>
      <c r="Y66" s="34">
        <f>Y87*'Fixed data'!AB$5/1000000</f>
        <v>7.2330740229921198E-2</v>
      </c>
      <c r="Z66" s="34">
        <f>Z87*'Fixed data'!AC$5/1000000</f>
        <v>7.0893451554109518E-2</v>
      </c>
      <c r="AA66" s="34">
        <f>AA87*'Fixed data'!AD$5/1000000</f>
        <v>6.9485445758400932E-2</v>
      </c>
      <c r="AB66" s="34">
        <f>AB87*'Fixed data'!AE$5/1000000</f>
        <v>6.7483181978744394E-2</v>
      </c>
      <c r="AC66" s="34">
        <f>AC87*'Fixed data'!AF$5/1000000</f>
        <v>6.4886660215139891E-2</v>
      </c>
      <c r="AD66" s="34">
        <f>AD87*'Fixed data'!AG$5/1000000</f>
        <v>6.1695880467587443E-2</v>
      </c>
      <c r="AE66" s="34">
        <f>AE87*'Fixed data'!AH$5/1000000</f>
        <v>5.7910842736087029E-2</v>
      </c>
      <c r="AF66" s="34">
        <f>AF87*'Fixed data'!AI$5/1000000</f>
        <v>5.3531547020638635E-2</v>
      </c>
      <c r="AG66" s="34">
        <f>AG87*'Fixed data'!AJ$5/1000000</f>
        <v>4.855799332124229E-2</v>
      </c>
      <c r="AH66" s="34">
        <f>AH87*'Fixed data'!AK$5/1000000</f>
        <v>4.2990181637897987E-2</v>
      </c>
      <c r="AI66" s="34">
        <f>AI87*'Fixed data'!AL$5/1000000</f>
        <v>3.6629041095088938E-2</v>
      </c>
      <c r="AJ66" s="34">
        <f>AJ87*'Fixed data'!AM$5/1000000</f>
        <v>2.9915160442702142E-2</v>
      </c>
      <c r="AK66" s="34">
        <f>AK87*'Fixed data'!AN$5/1000000</f>
        <v>2.2607021806367388E-2</v>
      </c>
      <c r="AL66" s="34">
        <f>AL87*'Fixed data'!AO$5/1000000</f>
        <v>1.4704625186084674E-2</v>
      </c>
      <c r="AM66" s="34">
        <f>AM87*'Fixed data'!AP$5/1000000</f>
        <v>6.2079705818538508E-3</v>
      </c>
      <c r="AN66" s="34">
        <f>AN87*'Fixed data'!AQ$5/1000000</f>
        <v>6.4422336226785237E-3</v>
      </c>
      <c r="AO66" s="34">
        <f>AO87*'Fixed data'!AR$5/1000000</f>
        <v>6.6472137834001129E-3</v>
      </c>
      <c r="AP66" s="34">
        <f>AP87*'Fixed data'!AS$5/1000000</f>
        <v>6.852193944121703E-3</v>
      </c>
      <c r="AQ66" s="34">
        <f>AQ87*'Fixed data'!AT$5/1000000</f>
        <v>7.0571741048432923E-3</v>
      </c>
      <c r="AR66" s="34">
        <f>AR87*'Fixed data'!AU$5/1000000</f>
        <v>7.2621542655648807E-3</v>
      </c>
      <c r="AS66" s="34">
        <f>AS87*'Fixed data'!AV$5/1000000</f>
        <v>7.4964173063895552E-3</v>
      </c>
      <c r="AT66" s="34">
        <f>AT87*'Fixed data'!AW$5/1000000</f>
        <v>7.6721145870080601E-3</v>
      </c>
      <c r="AU66" s="34">
        <f>AU87*'Fixed data'!AX$5/1000000</f>
        <v>7.8770947477296502E-3</v>
      </c>
      <c r="AV66" s="34">
        <f>AV87*'Fixed data'!AY$5/1000000</f>
        <v>8.0820749084512394E-3</v>
      </c>
      <c r="AW66" s="34">
        <f>AW87*'Fixed data'!AZ$5/1000000</f>
        <v>8.2577721890697443E-3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07"/>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c r="A68" s="207"/>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c r="A69" s="207"/>
      <c r="B69" s="4" t="s">
        <v>200</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07"/>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07"/>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07"/>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07"/>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07"/>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07"/>
      <c r="B75" s="9" t="s">
        <v>208</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08"/>
      <c r="B76" s="13" t="s">
        <v>98</v>
      </c>
      <c r="C76" s="13"/>
      <c r="D76" s="13" t="s">
        <v>39</v>
      </c>
      <c r="E76" s="52">
        <f>SUM(E65:E75)</f>
        <v>0</v>
      </c>
      <c r="F76" s="52">
        <f t="shared" ref="F76:BD76" si="9">SUM(F65:F75)</f>
        <v>7.4893096886659211E-2</v>
      </c>
      <c r="G76" s="52">
        <f t="shared" si="9"/>
        <v>0.14172063481760108</v>
      </c>
      <c r="H76" s="52">
        <f t="shared" si="9"/>
        <v>0.14204582710164618</v>
      </c>
      <c r="I76" s="52">
        <f t="shared" si="9"/>
        <v>0.14238237798062023</v>
      </c>
      <c r="J76" s="52">
        <f t="shared" si="9"/>
        <v>0.15047570577280323</v>
      </c>
      <c r="K76" s="52">
        <f t="shared" si="9"/>
        <v>0.15799939484037329</v>
      </c>
      <c r="L76" s="52">
        <f t="shared" si="9"/>
        <v>0.16495344518333033</v>
      </c>
      <c r="M76" s="52">
        <f t="shared" si="9"/>
        <v>0.17133785680167446</v>
      </c>
      <c r="N76" s="52">
        <f t="shared" si="9"/>
        <v>0.17715262969540557</v>
      </c>
      <c r="O76" s="52">
        <f t="shared" si="9"/>
        <v>0.18239776386452372</v>
      </c>
      <c r="P76" s="52">
        <f t="shared" si="9"/>
        <v>0.18707325930902891</v>
      </c>
      <c r="Q76" s="52">
        <f t="shared" si="9"/>
        <v>0.1911791160289211</v>
      </c>
      <c r="R76" s="52">
        <f t="shared" si="9"/>
        <v>0.19471533402420033</v>
      </c>
      <c r="S76" s="52">
        <f t="shared" si="9"/>
        <v>0.19768191329486659</v>
      </c>
      <c r="T76" s="52">
        <f t="shared" si="9"/>
        <v>0.19894219867360718</v>
      </c>
      <c r="U76" s="52">
        <f t="shared" si="9"/>
        <v>0.2010572937827329</v>
      </c>
      <c r="V76" s="52">
        <f t="shared" si="9"/>
        <v>0.20257813090791071</v>
      </c>
      <c r="W76" s="52">
        <f t="shared" si="9"/>
        <v>0.20350471004914056</v>
      </c>
      <c r="X76" s="52">
        <f t="shared" si="9"/>
        <v>0.20383703120642244</v>
      </c>
      <c r="Y76" s="52">
        <f t="shared" si="9"/>
        <v>0.20357509437975635</v>
      </c>
      <c r="Z76" s="52">
        <f t="shared" si="9"/>
        <v>0.20213780570394468</v>
      </c>
      <c r="AA76" s="52">
        <f t="shared" si="9"/>
        <v>0.20072979990823608</v>
      </c>
      <c r="AB76" s="52">
        <f t="shared" si="9"/>
        <v>0.19872753612857955</v>
      </c>
      <c r="AC76" s="52">
        <f t="shared" si="9"/>
        <v>0.19613101436497504</v>
      </c>
      <c r="AD76" s="52">
        <f t="shared" si="9"/>
        <v>0.1929402346174226</v>
      </c>
      <c r="AE76" s="52">
        <f t="shared" si="9"/>
        <v>0.18915519688592219</v>
      </c>
      <c r="AF76" s="52">
        <f t="shared" si="9"/>
        <v>0.18477590117047379</v>
      </c>
      <c r="AG76" s="52">
        <f t="shared" si="9"/>
        <v>0.17980234747107743</v>
      </c>
      <c r="AH76" s="52">
        <f t="shared" si="9"/>
        <v>0.17423453578773312</v>
      </c>
      <c r="AI76" s="52">
        <f t="shared" si="9"/>
        <v>0.16787339524492409</v>
      </c>
      <c r="AJ76" s="52">
        <f t="shared" si="9"/>
        <v>0.1611595145925373</v>
      </c>
      <c r="AK76" s="52">
        <f t="shared" si="9"/>
        <v>0.15385137595620255</v>
      </c>
      <c r="AL76" s="52">
        <f t="shared" si="9"/>
        <v>0.14594897933591983</v>
      </c>
      <c r="AM76" s="52">
        <f t="shared" si="9"/>
        <v>0.137452324731689</v>
      </c>
      <c r="AN76" s="52">
        <f t="shared" si="9"/>
        <v>0.13768658777251366</v>
      </c>
      <c r="AO76" s="52">
        <f t="shared" si="9"/>
        <v>0.13789156793323526</v>
      </c>
      <c r="AP76" s="52">
        <f t="shared" si="9"/>
        <v>0.13809654809395686</v>
      </c>
      <c r="AQ76" s="52">
        <f t="shared" si="9"/>
        <v>0.13830152825467845</v>
      </c>
      <c r="AR76" s="52">
        <f t="shared" si="9"/>
        <v>0.13850650841540002</v>
      </c>
      <c r="AS76" s="52">
        <f t="shared" si="9"/>
        <v>0.13874077145622471</v>
      </c>
      <c r="AT76" s="52">
        <f t="shared" si="9"/>
        <v>0.13891646873684321</v>
      </c>
      <c r="AU76" s="52">
        <f t="shared" si="9"/>
        <v>0.13912144889756481</v>
      </c>
      <c r="AV76" s="52">
        <f t="shared" si="9"/>
        <v>0.13932642905828641</v>
      </c>
      <c r="AW76" s="52">
        <f t="shared" si="9"/>
        <v>0.13950212633890491</v>
      </c>
      <c r="AX76" s="52">
        <f t="shared" si="9"/>
        <v>0</v>
      </c>
      <c r="AY76" s="52">
        <f t="shared" si="9"/>
        <v>0</v>
      </c>
      <c r="AZ76" s="52">
        <f t="shared" si="9"/>
        <v>0</v>
      </c>
      <c r="BA76" s="52">
        <f t="shared" si="9"/>
        <v>0</v>
      </c>
      <c r="BB76" s="52">
        <f t="shared" si="9"/>
        <v>0</v>
      </c>
      <c r="BC76" s="52">
        <f t="shared" si="9"/>
        <v>0</v>
      </c>
      <c r="BD76" s="52">
        <f t="shared" si="9"/>
        <v>0</v>
      </c>
    </row>
    <row r="77" spans="1:56">
      <c r="A77" s="74"/>
      <c r="B77" s="14" t="s">
        <v>16</v>
      </c>
      <c r="C77" s="14"/>
      <c r="D77" s="14" t="s">
        <v>39</v>
      </c>
      <c r="E77" s="53">
        <f>IF('Fixed data'!$G$19=FALSE,E64+E76,E64)</f>
        <v>-0.12431554121999996</v>
      </c>
      <c r="F77" s="53">
        <f>IF('Fixed data'!$G$19=FALSE,F64+F76,F64)</f>
        <v>-7.7288334957340804E-2</v>
      </c>
      <c r="G77" s="53">
        <f>IF('Fixed data'!$G$19=FALSE,G64+G76,G64)</f>
        <v>6.3448346714934462E-2</v>
      </c>
      <c r="H77" s="53">
        <f>IF('Fixed data'!$G$19=FALSE,H64+H76,H64)</f>
        <v>6.4957791956312877E-2</v>
      </c>
      <c r="I77" s="53">
        <f>IF('Fixed data'!$G$19=FALSE,I64+I76,I64)</f>
        <v>6.6478595792620263E-2</v>
      </c>
      <c r="J77" s="53">
        <f>IF('Fixed data'!$G$19=FALSE,J64+J76,J64)</f>
        <v>7.5756176542136594E-2</v>
      </c>
      <c r="K77" s="53">
        <f>IF('Fixed data'!$G$19=FALSE,K64+K76,K64)</f>
        <v>8.4464118567039975E-2</v>
      </c>
      <c r="L77" s="53">
        <f>IF('Fixed data'!$G$19=FALSE,L64+L76,L64)</f>
        <v>9.2602421867330351E-2</v>
      </c>
      <c r="M77" s="53">
        <f>IF('Fixed data'!$G$19=FALSE,M64+M76,M64)</f>
        <v>0.10017108644300782</v>
      </c>
      <c r="N77" s="53">
        <f>IF('Fixed data'!$G$19=FALSE,N64+N76,N64)</f>
        <v>0.10717011229407226</v>
      </c>
      <c r="O77" s="53">
        <f>IF('Fixed data'!$G$19=FALSE,O64+O76,O64)</f>
        <v>0.11359949942052375</v>
      </c>
      <c r="P77" s="53">
        <f>IF('Fixed data'!$G$19=FALSE,P64+P76,P64)</f>
        <v>0.11945924782236225</v>
      </c>
      <c r="Q77" s="53">
        <f>IF('Fixed data'!$G$19=FALSE,Q64+Q76,Q64)</f>
        <v>0.12474935749958778</v>
      </c>
      <c r="R77" s="53">
        <f>IF('Fixed data'!$G$19=FALSE,R64+R76,R64)</f>
        <v>0.12946982845220034</v>
      </c>
      <c r="S77" s="53">
        <f>IF('Fixed data'!$G$19=FALSE,S64+S76,S64)</f>
        <v>0.13362066068019995</v>
      </c>
      <c r="T77" s="53">
        <f>IF('Fixed data'!$G$19=FALSE,T64+T76,T64)</f>
        <v>0.13606519901627387</v>
      </c>
      <c r="U77" s="53">
        <f>IF('Fixed data'!$G$19=FALSE,U64+U76,U64)</f>
        <v>0.13936454708273291</v>
      </c>
      <c r="V77" s="53">
        <f>IF('Fixed data'!$G$19=FALSE,V64+V76,V64)</f>
        <v>0.14206963716524407</v>
      </c>
      <c r="W77" s="53">
        <f>IF('Fixed data'!$G$19=FALSE,W64+W76,W64)</f>
        <v>0.14418046926380723</v>
      </c>
      <c r="X77" s="53">
        <f>IF('Fixed data'!$G$19=FALSE,X64+X76,X64)</f>
        <v>0.14569704337842243</v>
      </c>
      <c r="Y77" s="53">
        <f>IF('Fixed data'!$G$19=FALSE,Y64+Y76,Y64)</f>
        <v>0.14661935950908969</v>
      </c>
      <c r="Z77" s="53">
        <f>IF('Fixed data'!$G$19=FALSE,Z64+Z76,Z64)</f>
        <v>0.14636632379061135</v>
      </c>
      <c r="AA77" s="53">
        <f>IF('Fixed data'!$G$19=FALSE,AA64+AA76,AA64)</f>
        <v>0.14614257095223609</v>
      </c>
      <c r="AB77" s="53">
        <f>IF('Fixed data'!$G$19=FALSE,AB64+AB76,AB64)</f>
        <v>0.14532456012991288</v>
      </c>
      <c r="AC77" s="53">
        <f>IF('Fixed data'!$G$19=FALSE,AC64+AC76,AC64)</f>
        <v>0.14391229132364169</v>
      </c>
      <c r="AD77" s="53">
        <f>IF('Fixed data'!$G$19=FALSE,AD64+AD76,AD64)</f>
        <v>0.1419057645334226</v>
      </c>
      <c r="AE77" s="53">
        <f>IF('Fixed data'!$G$19=FALSE,AE64+AE76,AE64)</f>
        <v>0.13930497975925552</v>
      </c>
      <c r="AF77" s="53">
        <f>IF('Fixed data'!$G$19=FALSE,AF64+AF76,AF64)</f>
        <v>0.13610993700114044</v>
      </c>
      <c r="AG77" s="53">
        <f>IF('Fixed data'!$G$19=FALSE,AG64+AG76,AG64)</f>
        <v>0.13232063625907742</v>
      </c>
      <c r="AH77" s="53">
        <f>IF('Fixed data'!$G$19=FALSE,AH64+AH76,AH64)</f>
        <v>0.12793707753306643</v>
      </c>
      <c r="AI77" s="53">
        <f>IF('Fixed data'!$G$19=FALSE,AI64+AI76,AI64)</f>
        <v>0.12276018994759075</v>
      </c>
      <c r="AJ77" s="53">
        <f>IF('Fixed data'!$G$19=FALSE,AJ64+AJ76,AJ64)</f>
        <v>0.11723056225253728</v>
      </c>
      <c r="AK77" s="53">
        <f>IF('Fixed data'!$G$19=FALSE,AK64+AK76,AK64)</f>
        <v>0.11110667657353586</v>
      </c>
      <c r="AL77" s="53">
        <f>IF('Fixed data'!$G$19=FALSE,AL64+AL76,AL64)</f>
        <v>0.10438853291058647</v>
      </c>
      <c r="AM77" s="53">
        <f>IF('Fixed data'!$G$19=FALSE,AM64+AM76,AM64)</f>
        <v>9.7076131263688969E-2</v>
      </c>
      <c r="AN77" s="53">
        <f>IF('Fixed data'!$G$19=FALSE,AN64+AN76,AN64)</f>
        <v>9.8494647261846979E-2</v>
      </c>
      <c r="AO77" s="53">
        <f>IF('Fixed data'!$G$19=FALSE,AO64+AO76,AO64)</f>
        <v>9.9883880379901896E-2</v>
      </c>
      <c r="AP77" s="53">
        <f>IF('Fixed data'!$G$19=FALSE,AP64+AP76,AP64)</f>
        <v>0.10127311349795683</v>
      </c>
      <c r="AQ77" s="53">
        <f>IF('Fixed data'!$G$19=FALSE,AQ64+AQ76,AQ64)</f>
        <v>0.10266234661601176</v>
      </c>
      <c r="AR77" s="53">
        <f>IF('Fixed data'!$G$19=FALSE,AR64+AR76,AR64)</f>
        <v>0.10405157973406666</v>
      </c>
      <c r="AS77" s="53">
        <f>IF('Fixed data'!$G$19=FALSE,AS64+AS76,AS64)</f>
        <v>0.10547009573222468</v>
      </c>
      <c r="AT77" s="53">
        <f>IF('Fixed data'!$G$19=FALSE,AT64+AT76,AT64)</f>
        <v>0.10683004597017652</v>
      </c>
      <c r="AU77" s="53">
        <f>IF('Fixed data'!$G$19=FALSE,AU64+AU76,AU64)</f>
        <v>0.10821927908823145</v>
      </c>
      <c r="AV77" s="53">
        <f>IF('Fixed data'!$G$19=FALSE,AV64+AV76,AV64)</f>
        <v>0.10960851220628637</v>
      </c>
      <c r="AW77" s="53">
        <f>IF('Fixed data'!$G$19=FALSE,AW64+AW76,AW64)</f>
        <v>0.11096846244423822</v>
      </c>
      <c r="AX77" s="53">
        <f>IF('Fixed data'!$G$19=FALSE,AX64+AX76,AX64)</f>
        <v>-2.7349410937333365E-2</v>
      </c>
      <c r="AY77" s="53">
        <f>IF('Fixed data'!$G$19=FALSE,AY64+AY76,AY64)</f>
        <v>-1.2601458896000036E-2</v>
      </c>
      <c r="AZ77" s="53">
        <f>IF('Fixed data'!$G$19=FALSE,AZ64+AZ76,AZ64)</f>
        <v>-4.2654768606098513E-17</v>
      </c>
      <c r="BA77" s="53">
        <f>IF('Fixed data'!$G$19=FALSE,BA64+BA76,BA64)</f>
        <v>-4.2654768606098513E-17</v>
      </c>
      <c r="BB77" s="53">
        <f>IF('Fixed data'!$G$19=FALSE,BB64+BB76,BB64)</f>
        <v>-4.2654768606098513E-17</v>
      </c>
      <c r="BC77" s="53">
        <f>IF('Fixed data'!$G$19=FALSE,BC64+BC76,BC64)</f>
        <v>-4.2654768606098513E-17</v>
      </c>
      <c r="BD77" s="53">
        <f>IF('Fixed data'!$G$19=FALSE,BD64+BD76,BD64)</f>
        <v>-4.2654768606098513E-17</v>
      </c>
    </row>
    <row r="78" spans="1:56" ht="15.75" outlineLevel="1">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4"/>
      <c r="B80" s="11" t="s">
        <v>17</v>
      </c>
      <c r="C80" s="14"/>
      <c r="D80" s="9" t="s">
        <v>39</v>
      </c>
      <c r="E80" s="54">
        <f>IF('Fixed data'!$G$19=TRUE,(E77-SUM(E70:E71))*E78+SUM(E70:E71)*E79,E77*E78)</f>
        <v>-0.12011163402898548</v>
      </c>
      <c r="F80" s="54">
        <f>F77*F78</f>
        <v>-7.2149487696180362E-2</v>
      </c>
      <c r="G80" s="54">
        <f t="shared" ref="G80:BD80" si="10">G77*G78</f>
        <v>5.7226773506230767E-2</v>
      </c>
      <c r="H80" s="54">
        <f t="shared" si="10"/>
        <v>5.6606962928789702E-2</v>
      </c>
      <c r="I80" s="54">
        <f t="shared" si="10"/>
        <v>5.5973193827820247E-2</v>
      </c>
      <c r="J80" s="54">
        <f t="shared" si="10"/>
        <v>6.1627698427319987E-2</v>
      </c>
      <c r="K80" s="54">
        <f t="shared" si="10"/>
        <v>6.6388033695819748E-2</v>
      </c>
      <c r="L80" s="54">
        <f t="shared" si="10"/>
        <v>7.0323349299663093E-2</v>
      </c>
      <c r="M80" s="54">
        <f t="shared" si="10"/>
        <v>7.3498628641118002E-2</v>
      </c>
      <c r="N80" s="54">
        <f t="shared" si="10"/>
        <v>7.5974908872656774E-2</v>
      </c>
      <c r="O80" s="54">
        <f t="shared" si="10"/>
        <v>7.7809490209875987E-2</v>
      </c>
      <c r="P80" s="54">
        <f t="shared" si="10"/>
        <v>7.9056135035021333E-2</v>
      </c>
      <c r="Q80" s="54">
        <f t="shared" si="10"/>
        <v>7.9765257261378661E-2</v>
      </c>
      <c r="R80" s="54">
        <f t="shared" si="10"/>
        <v>7.9984102408014068E-2</v>
      </c>
      <c r="S80" s="54">
        <f t="shared" si="10"/>
        <v>7.9756918814459704E-2</v>
      </c>
      <c r="T80" s="54">
        <f t="shared" si="10"/>
        <v>7.8469604651334221E-2</v>
      </c>
      <c r="U80" s="54">
        <f t="shared" si="10"/>
        <v>7.765445235368687E-2</v>
      </c>
      <c r="V80" s="54">
        <f t="shared" si="10"/>
        <v>7.6484771759780759E-2</v>
      </c>
      <c r="W80" s="54">
        <f t="shared" si="10"/>
        <v>7.4996291530205442E-2</v>
      </c>
      <c r="X80" s="54">
        <f t="shared" si="10"/>
        <v>7.322236346455635E-2</v>
      </c>
      <c r="Y80" s="54">
        <f t="shared" si="10"/>
        <v>7.1194094769556279E-2</v>
      </c>
      <c r="Z80" s="54">
        <f t="shared" si="10"/>
        <v>6.8667853127812442E-2</v>
      </c>
      <c r="AA80" s="54">
        <f t="shared" si="10"/>
        <v>6.624432786720312E-2</v>
      </c>
      <c r="AB80" s="54">
        <f t="shared" si="10"/>
        <v>6.3645927838966623E-2</v>
      </c>
      <c r="AC80" s="54">
        <f t="shared" si="10"/>
        <v>6.0896052792544522E-2</v>
      </c>
      <c r="AD80" s="54">
        <f t="shared" si="10"/>
        <v>5.8016422243839356E-2</v>
      </c>
      <c r="AE80" s="54">
        <f t="shared" si="10"/>
        <v>5.5027172419842424E-2</v>
      </c>
      <c r="AF80" s="54">
        <f t="shared" si="10"/>
        <v>5.19469482277089E-2</v>
      </c>
      <c r="AG80" s="54">
        <f t="shared" si="10"/>
        <v>4.879299048543892E-2</v>
      </c>
      <c r="AH80" s="54">
        <f t="shared" si="10"/>
        <v>4.5581218640584439E-2</v>
      </c>
      <c r="AI80" s="54">
        <f t="shared" si="10"/>
        <v>4.9102497916568066E-2</v>
      </c>
      <c r="AJ80" s="54">
        <f t="shared" si="10"/>
        <v>4.5524968855359248E-2</v>
      </c>
      <c r="AK80" s="54">
        <f t="shared" si="10"/>
        <v>4.1890133255710678E-2</v>
      </c>
      <c r="AL80" s="54">
        <f t="shared" si="10"/>
        <v>3.8210890063536798E-2</v>
      </c>
      <c r="AM80" s="54">
        <f t="shared" si="10"/>
        <v>3.4499245374582807E-2</v>
      </c>
      <c r="AN80" s="54">
        <f t="shared" si="10"/>
        <v>3.3983846999858014E-2</v>
      </c>
      <c r="AO80" s="54">
        <f t="shared" si="10"/>
        <v>3.3459395603446185E-2</v>
      </c>
      <c r="AP80" s="54">
        <f t="shared" si="10"/>
        <v>3.2936665042172804E-2</v>
      </c>
      <c r="AQ80" s="54">
        <f t="shared" si="10"/>
        <v>3.241599998438098E-2</v>
      </c>
      <c r="AR80" s="54">
        <f t="shared" si="10"/>
        <v>3.189772356079934E-2</v>
      </c>
      <c r="AS80" s="54">
        <f t="shared" si="10"/>
        <v>3.1390853731826956E-2</v>
      </c>
      <c r="AT80" s="54">
        <f t="shared" si="10"/>
        <v>3.086952718666968E-2</v>
      </c>
      <c r="AU80" s="54">
        <f t="shared" si="10"/>
        <v>3.0360154282000108E-2</v>
      </c>
      <c r="AV80" s="54">
        <f t="shared" si="10"/>
        <v>2.9854265844330794E-2</v>
      </c>
      <c r="AW80" s="54">
        <f t="shared" si="10"/>
        <v>2.9344347490021759E-2</v>
      </c>
      <c r="AX80" s="54">
        <f t="shared" si="10"/>
        <v>-7.0215928048926032E-3</v>
      </c>
      <c r="AY80" s="54">
        <f t="shared" si="10"/>
        <v>-3.1410240813306719E-3</v>
      </c>
      <c r="AZ80" s="54">
        <f t="shared" si="10"/>
        <v>-1.0322402857430754E-17</v>
      </c>
      <c r="BA80" s="54">
        <f t="shared" si="10"/>
        <v>-1.0021750347020151E-17</v>
      </c>
      <c r="BB80" s="54">
        <f t="shared" si="10"/>
        <v>-9.7298547058448061E-18</v>
      </c>
      <c r="BC80" s="54">
        <f t="shared" si="10"/>
        <v>-9.446460879460977E-18</v>
      </c>
      <c r="BD80" s="54">
        <f t="shared" si="10"/>
        <v>-9.1713212421951234E-18</v>
      </c>
    </row>
    <row r="81" spans="1:56">
      <c r="A81" s="74"/>
      <c r="B81" s="15" t="s">
        <v>18</v>
      </c>
      <c r="C81" s="15"/>
      <c r="D81" s="14" t="s">
        <v>39</v>
      </c>
      <c r="E81" s="55">
        <f>+E80</f>
        <v>-0.12011163402898548</v>
      </c>
      <c r="F81" s="55">
        <f>+E81+F80</f>
        <v>-0.19226112172516585</v>
      </c>
      <c r="G81" s="55">
        <f t="shared" ref="G81:BD81" si="11">+F81+G80</f>
        <v>-0.13503434821893509</v>
      </c>
      <c r="H81" s="55">
        <f t="shared" si="11"/>
        <v>-7.8427385290145396E-2</v>
      </c>
      <c r="I81" s="55">
        <f t="shared" si="11"/>
        <v>-2.2454191462325149E-2</v>
      </c>
      <c r="J81" s="55">
        <f t="shared" si="11"/>
        <v>3.9173506964994838E-2</v>
      </c>
      <c r="K81" s="55">
        <f t="shared" si="11"/>
        <v>0.10556154066081458</v>
      </c>
      <c r="L81" s="55">
        <f>+K81+L80</f>
        <v>0.17588488996047769</v>
      </c>
      <c r="M81" s="55">
        <f t="shared" si="11"/>
        <v>0.24938351860159569</v>
      </c>
      <c r="N81" s="55">
        <f t="shared" si="11"/>
        <v>0.32535842747425248</v>
      </c>
      <c r="O81" s="55">
        <f t="shared" si="11"/>
        <v>0.40316791768412846</v>
      </c>
      <c r="P81" s="55">
        <f t="shared" si="11"/>
        <v>0.48222405271914981</v>
      </c>
      <c r="Q81" s="55">
        <f t="shared" si="11"/>
        <v>0.56198930998052843</v>
      </c>
      <c r="R81" s="55">
        <f t="shared" si="11"/>
        <v>0.64197341238854255</v>
      </c>
      <c r="S81" s="55">
        <f t="shared" si="11"/>
        <v>0.72173033120300223</v>
      </c>
      <c r="T81" s="55">
        <f t="shared" si="11"/>
        <v>0.80019993585433646</v>
      </c>
      <c r="U81" s="55">
        <f t="shared" si="11"/>
        <v>0.87785438820802331</v>
      </c>
      <c r="V81" s="55">
        <f t="shared" si="11"/>
        <v>0.95433915996780405</v>
      </c>
      <c r="W81" s="55">
        <f t="shared" si="11"/>
        <v>1.0293354514980095</v>
      </c>
      <c r="X81" s="55">
        <f t="shared" si="11"/>
        <v>1.1025578149625659</v>
      </c>
      <c r="Y81" s="55">
        <f t="shared" si="11"/>
        <v>1.1737519097321221</v>
      </c>
      <c r="Z81" s="55">
        <f t="shared" si="11"/>
        <v>1.2424197628599345</v>
      </c>
      <c r="AA81" s="55">
        <f t="shared" si="11"/>
        <v>1.3086640907271376</v>
      </c>
      <c r="AB81" s="55">
        <f t="shared" si="11"/>
        <v>1.3723100185661044</v>
      </c>
      <c r="AC81" s="55">
        <f t="shared" si="11"/>
        <v>1.433206071358649</v>
      </c>
      <c r="AD81" s="55">
        <f t="shared" si="11"/>
        <v>1.4912224936024883</v>
      </c>
      <c r="AE81" s="55">
        <f t="shared" si="11"/>
        <v>1.5462496660223306</v>
      </c>
      <c r="AF81" s="55">
        <f t="shared" si="11"/>
        <v>1.5981966142500394</v>
      </c>
      <c r="AG81" s="55">
        <f t="shared" si="11"/>
        <v>1.6469896047354784</v>
      </c>
      <c r="AH81" s="55">
        <f t="shared" si="11"/>
        <v>1.6925708233760628</v>
      </c>
      <c r="AI81" s="55">
        <f t="shared" si="11"/>
        <v>1.7416733212926307</v>
      </c>
      <c r="AJ81" s="55">
        <f t="shared" si="11"/>
        <v>1.7871982901479899</v>
      </c>
      <c r="AK81" s="55">
        <f t="shared" si="11"/>
        <v>1.8290884234037006</v>
      </c>
      <c r="AL81" s="55">
        <f t="shared" si="11"/>
        <v>1.8672993134672373</v>
      </c>
      <c r="AM81" s="55">
        <f t="shared" si="11"/>
        <v>1.90179855884182</v>
      </c>
      <c r="AN81" s="55">
        <f t="shared" si="11"/>
        <v>1.9357824058416782</v>
      </c>
      <c r="AO81" s="55">
        <f t="shared" si="11"/>
        <v>1.9692418014451243</v>
      </c>
      <c r="AP81" s="55">
        <f t="shared" si="11"/>
        <v>2.002178466487297</v>
      </c>
      <c r="AQ81" s="55">
        <f t="shared" si="11"/>
        <v>2.034594466471678</v>
      </c>
      <c r="AR81" s="55">
        <f t="shared" si="11"/>
        <v>2.0664921900324771</v>
      </c>
      <c r="AS81" s="55">
        <f t="shared" si="11"/>
        <v>2.0978830437643041</v>
      </c>
      <c r="AT81" s="55">
        <f t="shared" si="11"/>
        <v>2.1287525709509736</v>
      </c>
      <c r="AU81" s="55">
        <f t="shared" si="11"/>
        <v>2.1591127252329736</v>
      </c>
      <c r="AV81" s="55">
        <f t="shared" si="11"/>
        <v>2.1889669910773044</v>
      </c>
      <c r="AW81" s="55">
        <f t="shared" si="11"/>
        <v>2.2183113385673261</v>
      </c>
      <c r="AX81" s="55">
        <f t="shared" si="11"/>
        <v>2.2112897457624334</v>
      </c>
      <c r="AY81" s="55">
        <f t="shared" si="11"/>
        <v>2.2081487216811029</v>
      </c>
      <c r="AZ81" s="55">
        <f t="shared" si="11"/>
        <v>2.2081487216811029</v>
      </c>
      <c r="BA81" s="55">
        <f t="shared" si="11"/>
        <v>2.2081487216811029</v>
      </c>
      <c r="BB81" s="55">
        <f t="shared" si="11"/>
        <v>2.2081487216811029</v>
      </c>
      <c r="BC81" s="55">
        <f t="shared" si="11"/>
        <v>2.2081487216811029</v>
      </c>
      <c r="BD81" s="55">
        <f t="shared" si="11"/>
        <v>2.2081487216811029</v>
      </c>
    </row>
    <row r="82" spans="1:56">
      <c r="A82" s="74"/>
      <c r="B82" s="14"/>
    </row>
    <row r="83" spans="1:56">
      <c r="A83" s="74"/>
    </row>
    <row r="84" spans="1:56">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c r="A85" s="117"/>
      <c r="B85" s="118" t="s">
        <v>318</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c r="A86" s="209" t="s">
        <v>297</v>
      </c>
      <c r="B86" s="4" t="s">
        <v>209</v>
      </c>
      <c r="D86" s="4" t="s">
        <v>85</v>
      </c>
      <c r="E86" s="43">
        <f>'Workings 1'!E11</f>
        <v>0</v>
      </c>
      <c r="F86" s="143">
        <f>'Workings 1'!F11</f>
        <v>1435.6356327079488</v>
      </c>
      <c r="G86" s="143">
        <f>'Workings 1'!G11</f>
        <v>2710.4691003764151</v>
      </c>
      <c r="H86" s="143">
        <f>'Workings 1'!H11</f>
        <v>2710.4691003764151</v>
      </c>
      <c r="I86" s="143">
        <f>'Workings 1'!I11</f>
        <v>2710.4691003764151</v>
      </c>
      <c r="J86" s="143">
        <f>'Workings 1'!J11</f>
        <v>2710.4691003764151</v>
      </c>
      <c r="K86" s="143">
        <f>'Workings 1'!K11</f>
        <v>2710.4691003764151</v>
      </c>
      <c r="L86" s="143">
        <f>'Workings 1'!L11</f>
        <v>2710.4691003764151</v>
      </c>
      <c r="M86" s="143">
        <f>'Workings 1'!M11</f>
        <v>2710.4691003764151</v>
      </c>
      <c r="N86" s="143">
        <f>'Workings 1'!N11</f>
        <v>2710.4691003764151</v>
      </c>
      <c r="O86" s="143">
        <f>'Workings 1'!O11</f>
        <v>2710.4691003764151</v>
      </c>
      <c r="P86" s="143">
        <f>'Workings 1'!P11</f>
        <v>2710.4691003764151</v>
      </c>
      <c r="Q86" s="143">
        <f>'Workings 1'!Q11</f>
        <v>2710.4691003764151</v>
      </c>
      <c r="R86" s="143">
        <f>'Workings 1'!R11</f>
        <v>2710.4691003764151</v>
      </c>
      <c r="S86" s="143">
        <f>'Workings 1'!S11</f>
        <v>2710.4691003764151</v>
      </c>
      <c r="T86" s="143">
        <f>'Workings 1'!T11</f>
        <v>2710.4691003764151</v>
      </c>
      <c r="U86" s="143">
        <f>'Workings 1'!U11</f>
        <v>2710.4691003764151</v>
      </c>
      <c r="V86" s="143">
        <f>'Workings 1'!V11</f>
        <v>2710.4691003764151</v>
      </c>
      <c r="W86" s="143">
        <f>'Workings 1'!W11</f>
        <v>2710.4691003764151</v>
      </c>
      <c r="X86" s="143">
        <f>'Workings 1'!X11</f>
        <v>2710.4691003764151</v>
      </c>
      <c r="Y86" s="143">
        <f>'Workings 1'!Y11</f>
        <v>2710.4691003764151</v>
      </c>
      <c r="Z86" s="143">
        <f>'Workings 1'!Z11</f>
        <v>2710.4691003764151</v>
      </c>
      <c r="AA86" s="143">
        <f>'Workings 1'!AA11</f>
        <v>2710.4691003764151</v>
      </c>
      <c r="AB86" s="143">
        <f>'Workings 1'!AB11</f>
        <v>2710.4691003764151</v>
      </c>
      <c r="AC86" s="143">
        <f>'Workings 1'!AC11</f>
        <v>2710.4691003764151</v>
      </c>
      <c r="AD86" s="143">
        <f>'Workings 1'!AD11</f>
        <v>2710.4691003764151</v>
      </c>
      <c r="AE86" s="143">
        <f>'Workings 1'!AE11</f>
        <v>2710.4691003764151</v>
      </c>
      <c r="AF86" s="143">
        <f>'Workings 1'!AF11</f>
        <v>2710.4691003764151</v>
      </c>
      <c r="AG86" s="143">
        <f>'Workings 1'!AG11</f>
        <v>2710.4691003764151</v>
      </c>
      <c r="AH86" s="143">
        <f>'Workings 1'!AH11</f>
        <v>2710.4691003764151</v>
      </c>
      <c r="AI86" s="143">
        <f>'Workings 1'!AI11</f>
        <v>2710.4691003764151</v>
      </c>
      <c r="AJ86" s="143">
        <f>'Workings 1'!AJ11</f>
        <v>2710.4691003764151</v>
      </c>
      <c r="AK86" s="143">
        <f>'Workings 1'!AK11</f>
        <v>2710.4691003764151</v>
      </c>
      <c r="AL86" s="143">
        <f>'Workings 1'!AL11</f>
        <v>2710.4691003764151</v>
      </c>
      <c r="AM86" s="143">
        <f>'Workings 1'!AM11</f>
        <v>2710.4691003764151</v>
      </c>
      <c r="AN86" s="143">
        <f>'Workings 1'!AN11</f>
        <v>2710.4691003764151</v>
      </c>
      <c r="AO86" s="143">
        <f>'Workings 1'!AO11</f>
        <v>2710.4691003764151</v>
      </c>
      <c r="AP86" s="143">
        <f>'Workings 1'!AP11</f>
        <v>2710.4691003764151</v>
      </c>
      <c r="AQ86" s="143">
        <f>'Workings 1'!AQ11</f>
        <v>2710.4691003764151</v>
      </c>
      <c r="AR86" s="143">
        <f>'Workings 1'!AR11</f>
        <v>2710.4691003764151</v>
      </c>
      <c r="AS86" s="143">
        <f>'Workings 1'!AS11</f>
        <v>2710.4691003764151</v>
      </c>
      <c r="AT86" s="143">
        <f>'Workings 1'!AT11</f>
        <v>2710.4691003764151</v>
      </c>
      <c r="AU86" s="143">
        <f>'Workings 1'!AU11</f>
        <v>2710.4691003764151</v>
      </c>
      <c r="AV86" s="143">
        <f>'Workings 1'!AV11</f>
        <v>2710.4691003764151</v>
      </c>
      <c r="AW86" s="143">
        <f>'Workings 1'!AW11</f>
        <v>2710.4691003764151</v>
      </c>
      <c r="AX86" s="143">
        <f>'Workings 1'!AX11</f>
        <v>0</v>
      </c>
      <c r="AY86" s="143">
        <f>'Workings 1'!AY11</f>
        <v>0</v>
      </c>
      <c r="AZ86" s="143">
        <f>'Workings 1'!AZ11</f>
        <v>0</v>
      </c>
      <c r="BA86" s="143">
        <f>'Workings 1'!BA11</f>
        <v>0</v>
      </c>
      <c r="BB86" s="143">
        <f>'Workings 1'!BB11</f>
        <v>0</v>
      </c>
      <c r="BC86" s="143">
        <f>'Workings 1'!BC11</f>
        <v>0</v>
      </c>
      <c r="BD86" s="143">
        <f>'Workings 1'!BD11</f>
        <v>0</v>
      </c>
    </row>
    <row r="87" spans="1:56">
      <c r="A87" s="209"/>
      <c r="B87" s="4" t="s">
        <v>210</v>
      </c>
      <c r="D87" s="4" t="s">
        <v>87</v>
      </c>
      <c r="E87" s="34">
        <f>E86*'Fixed data'!H$12</f>
        <v>0</v>
      </c>
      <c r="F87" s="34">
        <f>F86*'Fixed data'!I$12</f>
        <v>701.09481468637603</v>
      </c>
      <c r="G87" s="34">
        <f>G86*'Fixed data'!J$12</f>
        <v>1284.3720460279669</v>
      </c>
      <c r="H87" s="34">
        <f>H86*'Fixed data'!K$12</f>
        <v>1245.0824411834606</v>
      </c>
      <c r="I87" s="34">
        <f>I86*'Fixed data'!L$12</f>
        <v>1205.7928363389542</v>
      </c>
      <c r="J87" s="34">
        <f>J86*'Fixed data'!M$12</f>
        <v>1166.5032314944478</v>
      </c>
      <c r="K87" s="34">
        <f>K86*'Fixed data'!N$12</f>
        <v>1127.2136266499417</v>
      </c>
      <c r="L87" s="34">
        <f>L86*'Fixed data'!O$12</f>
        <v>1087.9240218054354</v>
      </c>
      <c r="M87" s="34">
        <f>M86*'Fixed data'!P$12</f>
        <v>1048.634416960929</v>
      </c>
      <c r="N87" s="34">
        <f>N86*'Fixed data'!Q$12</f>
        <v>1009.3448121164226</v>
      </c>
      <c r="O87" s="34">
        <f>O86*'Fixed data'!R$12</f>
        <v>970.0552072719164</v>
      </c>
      <c r="P87" s="34">
        <f>P86*'Fixed data'!S$12</f>
        <v>930.76560242741004</v>
      </c>
      <c r="Q87" s="34">
        <f>Q86*'Fixed data'!T$12</f>
        <v>891.4759975829038</v>
      </c>
      <c r="R87" s="34">
        <f>R86*'Fixed data'!U$12</f>
        <v>852.18639273839744</v>
      </c>
      <c r="S87" s="34">
        <f>S86*'Fixed data'!V$12</f>
        <v>812.89678789389109</v>
      </c>
      <c r="T87" s="34">
        <f>T86*'Fixed data'!W$12</f>
        <v>773.60718304938484</v>
      </c>
      <c r="U87" s="34">
        <f>U86*'Fixed data'!X$12</f>
        <v>734.31757820487849</v>
      </c>
      <c r="V87" s="34">
        <f>V86*'Fixed data'!Y$12</f>
        <v>695.02797336037224</v>
      </c>
      <c r="W87" s="34">
        <f>W86*'Fixed data'!Z$12</f>
        <v>655.738368515866</v>
      </c>
      <c r="X87" s="34">
        <f>X86*'Fixed data'!AA$12</f>
        <v>616.44876367135964</v>
      </c>
      <c r="Y87" s="34">
        <f>Y86*'Fixed data'!AB$12</f>
        <v>577.1591588268534</v>
      </c>
      <c r="Z87" s="34">
        <f>Z86*'Fixed data'!AC$12</f>
        <v>537.86955398234704</v>
      </c>
      <c r="AA87" s="34">
        <f>AA86*'Fixed data'!AD$12</f>
        <v>498.57994913784074</v>
      </c>
      <c r="AB87" s="34">
        <f>AB86*'Fixed data'!AE$12</f>
        <v>459.29034429333444</v>
      </c>
      <c r="AC87" s="34">
        <f>AC86*'Fixed data'!AF$12</f>
        <v>420.00073944882809</v>
      </c>
      <c r="AD87" s="34">
        <f>AD86*'Fixed data'!AG$12</f>
        <v>380.71113460432178</v>
      </c>
      <c r="AE87" s="34">
        <f>AE86*'Fixed data'!AH$12</f>
        <v>341.42152975981548</v>
      </c>
      <c r="AF87" s="34">
        <f>AF86*'Fixed data'!AI$12</f>
        <v>302.13192491530913</v>
      </c>
      <c r="AG87" s="34">
        <f>AG86*'Fixed data'!AJ$12</f>
        <v>262.84232007080277</v>
      </c>
      <c r="AH87" s="34">
        <f>AH86*'Fixed data'!AK$12</f>
        <v>223.55271522629644</v>
      </c>
      <c r="AI87" s="34">
        <f>AI86*'Fixed data'!AL$12</f>
        <v>184.26311038179009</v>
      </c>
      <c r="AJ87" s="34">
        <f>AJ86*'Fixed data'!AM$12</f>
        <v>144.97350553728378</v>
      </c>
      <c r="AK87" s="34">
        <f>AK86*'Fixed data'!AN$12</f>
        <v>105.68390069277746</v>
      </c>
      <c r="AL87" s="34">
        <f>AL86*'Fixed data'!AO$12</f>
        <v>66.394295848271128</v>
      </c>
      <c r="AM87" s="34">
        <f>AM86*'Fixed data'!AP$12</f>
        <v>27.104691003764152</v>
      </c>
      <c r="AN87" s="34">
        <f>AN86*'Fixed data'!AQ$12</f>
        <v>27.104691003764152</v>
      </c>
      <c r="AO87" s="34">
        <f>AO86*'Fixed data'!AR$12</f>
        <v>27.104691003764152</v>
      </c>
      <c r="AP87" s="34">
        <f>AP86*'Fixed data'!AS$12</f>
        <v>27.104691003764152</v>
      </c>
      <c r="AQ87" s="34">
        <f>AQ86*'Fixed data'!AT$12</f>
        <v>27.104691003764152</v>
      </c>
      <c r="AR87" s="34">
        <f>AR86*'Fixed data'!AU$12</f>
        <v>27.104691003764152</v>
      </c>
      <c r="AS87" s="34">
        <f>AS86*'Fixed data'!AV$12</f>
        <v>27.104691003764152</v>
      </c>
      <c r="AT87" s="34">
        <f>AT86*'Fixed data'!AW$12</f>
        <v>27.104691003764152</v>
      </c>
      <c r="AU87" s="34">
        <f>AU86*'Fixed data'!AX$12</f>
        <v>27.104691003764152</v>
      </c>
      <c r="AV87" s="34">
        <f>AV86*'Fixed data'!AY$12</f>
        <v>27.104691003764152</v>
      </c>
      <c r="AW87" s="34">
        <f>AW86*'Fixed data'!AZ$12</f>
        <v>27.104691003764152</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09"/>
      <c r="B88" s="4" t="s">
        <v>211</v>
      </c>
      <c r="D88" s="4" t="s">
        <v>206</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09"/>
      <c r="B89" s="4" t="s">
        <v>212</v>
      </c>
      <c r="D89" s="4" t="s">
        <v>86</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09"/>
      <c r="B90" s="4" t="s">
        <v>328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09"/>
      <c r="B91" s="4" t="s">
        <v>329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09"/>
      <c r="B92" s="4" t="s">
        <v>330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09"/>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c r="C94" s="36"/>
    </row>
    <row r="95" spans="1:56" ht="16.5">
      <c r="A95" s="85"/>
      <c r="C95" s="36"/>
    </row>
    <row r="96" spans="1:56" ht="16.5">
      <c r="A96" s="85">
        <v>1</v>
      </c>
      <c r="B96" s="4" t="s">
        <v>331</v>
      </c>
    </row>
    <row r="97" spans="1:3">
      <c r="B97" s="69" t="s">
        <v>152</v>
      </c>
    </row>
    <row r="98" spans="1:3">
      <c r="B98" s="4" t="s">
        <v>315</v>
      </c>
    </row>
    <row r="99" spans="1:3">
      <c r="B99" s="4" t="s">
        <v>333</v>
      </c>
    </row>
    <row r="100" spans="1:3" ht="16.5">
      <c r="A100" s="85">
        <v>2</v>
      </c>
      <c r="B100" s="69" t="s">
        <v>151</v>
      </c>
    </row>
    <row r="105" spans="1:3">
      <c r="C105" s="36"/>
    </row>
    <row r="170" spans="2:2">
      <c r="B170" s="4" t="s">
        <v>195</v>
      </c>
    </row>
    <row r="171" spans="2:2">
      <c r="B171" s="4" t="s">
        <v>194</v>
      </c>
    </row>
    <row r="172" spans="2:2">
      <c r="B172" s="4" t="s">
        <v>316</v>
      </c>
    </row>
    <row r="173" spans="2:2">
      <c r="B173" s="4" t="s">
        <v>155</v>
      </c>
    </row>
    <row r="174" spans="2:2">
      <c r="B174" s="4" t="s">
        <v>156</v>
      </c>
    </row>
    <row r="175" spans="2:2">
      <c r="B175" s="4" t="s">
        <v>157</v>
      </c>
    </row>
    <row r="176" spans="2:2">
      <c r="B176" s="4" t="s">
        <v>158</v>
      </c>
    </row>
    <row r="177" spans="2:2">
      <c r="B177" s="4" t="s">
        <v>159</v>
      </c>
    </row>
    <row r="178" spans="2:2">
      <c r="B178" s="4" t="s">
        <v>160</v>
      </c>
    </row>
    <row r="179" spans="2:2">
      <c r="B179" s="4" t="s">
        <v>161</v>
      </c>
    </row>
    <row r="180" spans="2:2">
      <c r="B180" s="4" t="s">
        <v>162</v>
      </c>
    </row>
    <row r="181" spans="2:2">
      <c r="B181" s="4" t="s">
        <v>163</v>
      </c>
    </row>
    <row r="182" spans="2:2">
      <c r="B182" s="4" t="s">
        <v>196</v>
      </c>
    </row>
    <row r="183" spans="2:2">
      <c r="B183" s="4" t="s">
        <v>164</v>
      </c>
    </row>
    <row r="184" spans="2:2">
      <c r="B184" s="4" t="s">
        <v>165</v>
      </c>
    </row>
    <row r="185" spans="2:2">
      <c r="B185" s="4" t="s">
        <v>166</v>
      </c>
    </row>
    <row r="186" spans="2:2">
      <c r="B186" s="4" t="s">
        <v>167</v>
      </c>
    </row>
    <row r="187" spans="2:2">
      <c r="B187" s="4" t="s">
        <v>168</v>
      </c>
    </row>
    <row r="188" spans="2:2">
      <c r="B188" s="4" t="s">
        <v>169</v>
      </c>
    </row>
    <row r="189" spans="2:2">
      <c r="B189" s="4" t="s">
        <v>170</v>
      </c>
    </row>
    <row r="190" spans="2:2">
      <c r="B190" s="4" t="s">
        <v>171</v>
      </c>
    </row>
    <row r="191" spans="2:2">
      <c r="B191" s="4" t="s">
        <v>172</v>
      </c>
    </row>
    <row r="192" spans="2:2">
      <c r="B192" s="4" t="s">
        <v>197</v>
      </c>
    </row>
    <row r="193" spans="2:2">
      <c r="B193" s="4" t="s">
        <v>198</v>
      </c>
    </row>
    <row r="194" spans="2:2">
      <c r="B194" s="4" t="s">
        <v>173</v>
      </c>
    </row>
    <row r="195" spans="2:2">
      <c r="B195" s="4" t="s">
        <v>174</v>
      </c>
    </row>
    <row r="196" spans="2:2">
      <c r="B196" s="4" t="s">
        <v>175</v>
      </c>
    </row>
    <row r="197" spans="2:2">
      <c r="B197" s="4" t="s">
        <v>176</v>
      </c>
    </row>
    <row r="198" spans="2:2">
      <c r="B198" s="4" t="s">
        <v>177</v>
      </c>
    </row>
    <row r="199" spans="2:2">
      <c r="B199" s="4" t="s">
        <v>178</v>
      </c>
    </row>
    <row r="200" spans="2:2">
      <c r="B200" s="4" t="s">
        <v>179</v>
      </c>
    </row>
    <row r="201" spans="2:2">
      <c r="B201" s="4" t="s">
        <v>180</v>
      </c>
    </row>
    <row r="202" spans="2:2">
      <c r="B202" s="4" t="s">
        <v>181</v>
      </c>
    </row>
    <row r="203" spans="2:2">
      <c r="B203" s="4" t="s">
        <v>182</v>
      </c>
    </row>
    <row r="204" spans="2:2">
      <c r="B204" s="4" t="s">
        <v>183</v>
      </c>
    </row>
    <row r="205" spans="2:2">
      <c r="B205" s="4" t="s">
        <v>184</v>
      </c>
    </row>
    <row r="206" spans="2:2">
      <c r="B206" s="4" t="s">
        <v>185</v>
      </c>
    </row>
    <row r="207" spans="2:2">
      <c r="B207" s="4" t="s">
        <v>186</v>
      </c>
    </row>
    <row r="208" spans="2:2">
      <c r="B208" s="4" t="s">
        <v>187</v>
      </c>
    </row>
    <row r="209" spans="2:2">
      <c r="B209" s="4" t="s">
        <v>188</v>
      </c>
    </row>
    <row r="210" spans="2:2">
      <c r="B210" s="4" t="s">
        <v>189</v>
      </c>
    </row>
    <row r="211" spans="2:2">
      <c r="B211" s="4" t="s">
        <v>190</v>
      </c>
    </row>
    <row r="212" spans="2:2">
      <c r="B212" s="4" t="s">
        <v>191</v>
      </c>
    </row>
    <row r="213" spans="2:2">
      <c r="B213" s="4" t="s">
        <v>192</v>
      </c>
    </row>
    <row r="214" spans="2:2">
      <c r="B214" s="4" t="s">
        <v>193</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AY87:BD87 E87:AX87" unlockedFormula="1"/>
  </ignoredErrors>
  <legacyDrawing r:id="rId4"/>
</worksheet>
</file>

<file path=xl/worksheets/sheet8.xml><?xml version="1.0" encoding="utf-8"?>
<worksheet xmlns="http://schemas.openxmlformats.org/spreadsheetml/2006/main" xmlns:r="http://schemas.openxmlformats.org/officeDocument/2006/relationships">
  <dimension ref="A1:AW16"/>
  <sheetViews>
    <sheetView workbookViewId="0"/>
  </sheetViews>
  <sheetFormatPr defaultRowHeight="15"/>
  <cols>
    <col min="1" max="1" width="27.28515625" customWidth="1"/>
    <col min="2" max="2" width="11.28515625" customWidth="1"/>
    <col min="4" max="4" width="26.42578125" bestFit="1" customWidth="1"/>
    <col min="7" max="7" width="9.7109375" customWidth="1"/>
  </cols>
  <sheetData>
    <row r="1" spans="1:49" ht="18.75">
      <c r="A1" s="1" t="s">
        <v>360</v>
      </c>
    </row>
    <row r="2" spans="1:49" ht="21">
      <c r="A2" t="s">
        <v>338</v>
      </c>
    </row>
    <row r="3" spans="1:49" s="144" customFormat="1" ht="15.75" thickBot="1"/>
    <row r="4" spans="1:49" s="144" customFormat="1" ht="17.25">
      <c r="A4" s="213" t="s">
        <v>365</v>
      </c>
      <c r="B4" s="214"/>
      <c r="F4" s="150" t="s">
        <v>347</v>
      </c>
      <c r="G4" s="151">
        <v>0.53</v>
      </c>
      <c r="K4" s="146"/>
      <c r="L4" s="147" t="s">
        <v>349</v>
      </c>
    </row>
    <row r="5" spans="1:49" s="144" customFormat="1" ht="15.75" thickBot="1">
      <c r="A5" s="219"/>
      <c r="B5" s="220"/>
      <c r="F5" s="152" t="s">
        <v>346</v>
      </c>
      <c r="G5" s="153">
        <f>(L5*G4)+((1-L5)*G4^2)</f>
        <v>0.30581000000000003</v>
      </c>
      <c r="K5" s="148" t="s">
        <v>348</v>
      </c>
      <c r="L5" s="149">
        <v>0.1</v>
      </c>
    </row>
    <row r="6" spans="1:49" s="144" customFormat="1">
      <c r="A6" s="166" t="s">
        <v>355</v>
      </c>
      <c r="B6" s="167">
        <v>1000</v>
      </c>
    </row>
    <row r="7" spans="1:49" s="144" customFormat="1">
      <c r="A7" s="154" t="s">
        <v>359</v>
      </c>
      <c r="B7" s="164">
        <f>'Workings baseline'!B7+7.8</f>
        <v>107.447</v>
      </c>
    </row>
    <row r="8" spans="1:49" s="144" customFormat="1">
      <c r="A8" s="154" t="s">
        <v>356</v>
      </c>
      <c r="B8" s="155">
        <v>0.128</v>
      </c>
      <c r="E8" s="160" t="s">
        <v>350</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1:49" s="144" customFormat="1" ht="15.75">
      <c r="A9" s="154" t="s">
        <v>366</v>
      </c>
      <c r="B9" s="155">
        <f>(300^2*B8)*G5*8760/1000000</f>
        <v>30.860877312000003</v>
      </c>
      <c r="D9" s="157" t="s">
        <v>351</v>
      </c>
      <c r="E9" s="158">
        <v>2016</v>
      </c>
      <c r="F9" s="158">
        <v>2017</v>
      </c>
      <c r="G9" s="158">
        <v>2018</v>
      </c>
      <c r="H9" s="158">
        <v>2019</v>
      </c>
      <c r="I9" s="158">
        <v>2020</v>
      </c>
      <c r="J9" s="158">
        <v>2021</v>
      </c>
      <c r="K9" s="158">
        <v>2022</v>
      </c>
      <c r="L9" s="158">
        <v>2023</v>
      </c>
      <c r="M9" s="158">
        <v>2024</v>
      </c>
      <c r="N9" s="158">
        <v>2025</v>
      </c>
      <c r="O9" s="158">
        <v>2026</v>
      </c>
      <c r="P9" s="158">
        <v>2027</v>
      </c>
      <c r="Q9" s="158">
        <v>2028</v>
      </c>
      <c r="R9" s="158">
        <v>2029</v>
      </c>
      <c r="S9" s="158">
        <v>2030</v>
      </c>
      <c r="T9" s="158">
        <v>2031</v>
      </c>
      <c r="U9" s="158">
        <v>2032</v>
      </c>
      <c r="V9" s="158">
        <v>2033</v>
      </c>
      <c r="W9" s="158">
        <v>2034</v>
      </c>
      <c r="X9" s="158">
        <v>2035</v>
      </c>
      <c r="Y9" s="158">
        <v>2036</v>
      </c>
      <c r="Z9" s="158">
        <v>2037</v>
      </c>
      <c r="AA9" s="158">
        <v>2038</v>
      </c>
      <c r="AB9" s="158">
        <v>2039</v>
      </c>
      <c r="AC9" s="158">
        <v>2040</v>
      </c>
      <c r="AD9" s="158">
        <v>2041</v>
      </c>
      <c r="AE9" s="158">
        <v>2042</v>
      </c>
      <c r="AF9" s="158">
        <v>2043</v>
      </c>
      <c r="AG9" s="158">
        <v>2044</v>
      </c>
      <c r="AH9" s="158">
        <v>2045</v>
      </c>
      <c r="AI9" s="158">
        <v>2046</v>
      </c>
      <c r="AJ9" s="158">
        <v>2047</v>
      </c>
      <c r="AK9" s="158">
        <v>2048</v>
      </c>
      <c r="AL9" s="158">
        <v>2049</v>
      </c>
      <c r="AM9" s="158">
        <v>2050</v>
      </c>
      <c r="AN9" s="158">
        <v>2051</v>
      </c>
      <c r="AO9" s="158">
        <v>2052</v>
      </c>
      <c r="AP9" s="158">
        <v>2053</v>
      </c>
      <c r="AQ9" s="158">
        <v>2054</v>
      </c>
      <c r="AR9" s="158">
        <v>2055</v>
      </c>
      <c r="AS9" s="158">
        <v>2056</v>
      </c>
      <c r="AT9" s="158">
        <v>2057</v>
      </c>
      <c r="AU9" s="158">
        <v>2058</v>
      </c>
      <c r="AV9" s="158">
        <v>2059</v>
      </c>
      <c r="AW9" s="158">
        <v>2060</v>
      </c>
    </row>
    <row r="10" spans="1:49" s="144" customFormat="1" ht="15.75" thickBot="1">
      <c r="A10" s="165" t="s">
        <v>369</v>
      </c>
      <c r="B10" s="153">
        <f>'Workings baseline'!B9-'Workings 1'!B9</f>
        <v>15.241911378150004</v>
      </c>
      <c r="D10" s="157" t="s">
        <v>353</v>
      </c>
      <c r="E10" s="145">
        <v>94.19</v>
      </c>
      <c r="F10" s="145">
        <v>83.64</v>
      </c>
      <c r="G10" s="145">
        <v>0</v>
      </c>
      <c r="H10" s="145">
        <v>0</v>
      </c>
      <c r="I10" s="145">
        <v>0</v>
      </c>
      <c r="J10" s="145">
        <v>0</v>
      </c>
      <c r="K10" s="145">
        <v>0</v>
      </c>
      <c r="L10" s="145">
        <v>0</v>
      </c>
      <c r="M10" s="159">
        <v>0</v>
      </c>
      <c r="N10" s="159">
        <v>0</v>
      </c>
      <c r="O10" s="159">
        <v>0</v>
      </c>
      <c r="P10" s="159">
        <v>0</v>
      </c>
      <c r="Q10" s="159">
        <v>0</v>
      </c>
      <c r="R10" s="159">
        <v>0</v>
      </c>
      <c r="S10" s="159">
        <v>0</v>
      </c>
      <c r="T10" s="159">
        <v>0</v>
      </c>
      <c r="U10" s="159">
        <v>0</v>
      </c>
      <c r="V10" s="159">
        <v>0</v>
      </c>
      <c r="W10" s="159">
        <v>0</v>
      </c>
      <c r="X10" s="159">
        <v>0</v>
      </c>
      <c r="Y10" s="159">
        <v>0</v>
      </c>
      <c r="Z10" s="159">
        <v>0</v>
      </c>
      <c r="AA10" s="159">
        <v>0</v>
      </c>
      <c r="AB10" s="159">
        <v>0</v>
      </c>
      <c r="AC10" s="159">
        <v>0</v>
      </c>
      <c r="AD10" s="159">
        <v>0</v>
      </c>
      <c r="AE10" s="159">
        <v>0</v>
      </c>
      <c r="AF10" s="159">
        <v>0</v>
      </c>
      <c r="AG10" s="159">
        <v>0</v>
      </c>
      <c r="AH10" s="159">
        <v>0</v>
      </c>
      <c r="AI10" s="159">
        <v>0</v>
      </c>
      <c r="AJ10" s="159">
        <v>0</v>
      </c>
      <c r="AK10" s="159">
        <v>0</v>
      </c>
      <c r="AL10" s="159">
        <v>0</v>
      </c>
      <c r="AM10" s="159">
        <v>0</v>
      </c>
      <c r="AN10" s="159">
        <v>0</v>
      </c>
      <c r="AO10" s="159">
        <v>0</v>
      </c>
      <c r="AP10" s="159">
        <v>0</v>
      </c>
      <c r="AQ10" s="159">
        <v>0</v>
      </c>
      <c r="AR10" s="159">
        <v>0</v>
      </c>
      <c r="AS10" s="159">
        <v>0</v>
      </c>
      <c r="AT10" s="159">
        <v>0</v>
      </c>
      <c r="AU10" s="159">
        <v>0</v>
      </c>
      <c r="AV10" s="159">
        <v>0</v>
      </c>
      <c r="AW10" s="159">
        <v>0</v>
      </c>
    </row>
    <row r="11" spans="1:49" s="144" customFormat="1">
      <c r="D11" s="157" t="s">
        <v>352</v>
      </c>
      <c r="E11" s="168"/>
      <c r="F11" s="168">
        <f>E10*B10</f>
        <v>1435.6356327079488</v>
      </c>
      <c r="G11" s="168">
        <f>(E10+F10)*B10</f>
        <v>2710.4691003764151</v>
      </c>
      <c r="H11" s="168">
        <f>(E10+F10+G10)*B10</f>
        <v>2710.4691003764151</v>
      </c>
      <c r="I11" s="168">
        <f>(E10+F10+G10+H10)*B10</f>
        <v>2710.4691003764151</v>
      </c>
      <c r="J11" s="168">
        <f>(E10+F10+G10+H10+I10)*B10</f>
        <v>2710.4691003764151</v>
      </c>
      <c r="K11" s="168">
        <f>(E10+F10+G10+H10+I10+J10)*B10</f>
        <v>2710.4691003764151</v>
      </c>
      <c r="L11" s="168">
        <f>(E10+F10+G10+H10+I10+J10+K10)*B10</f>
        <v>2710.4691003764151</v>
      </c>
      <c r="M11" s="168">
        <f>(E10+F10+G10+H10+I10+J10+K10+L10)*B10</f>
        <v>2710.4691003764151</v>
      </c>
      <c r="N11" s="168">
        <f t="shared" ref="N11:AW11" si="0">M11</f>
        <v>2710.4691003764151</v>
      </c>
      <c r="O11" s="168">
        <f t="shared" si="0"/>
        <v>2710.4691003764151</v>
      </c>
      <c r="P11" s="168">
        <f t="shared" si="0"/>
        <v>2710.4691003764151</v>
      </c>
      <c r="Q11" s="168">
        <f t="shared" si="0"/>
        <v>2710.4691003764151</v>
      </c>
      <c r="R11" s="168">
        <f t="shared" si="0"/>
        <v>2710.4691003764151</v>
      </c>
      <c r="S11" s="168">
        <f t="shared" si="0"/>
        <v>2710.4691003764151</v>
      </c>
      <c r="T11" s="168">
        <f t="shared" si="0"/>
        <v>2710.4691003764151</v>
      </c>
      <c r="U11" s="168">
        <f t="shared" si="0"/>
        <v>2710.4691003764151</v>
      </c>
      <c r="V11" s="168">
        <f t="shared" si="0"/>
        <v>2710.4691003764151</v>
      </c>
      <c r="W11" s="168">
        <f t="shared" si="0"/>
        <v>2710.4691003764151</v>
      </c>
      <c r="X11" s="168">
        <f t="shared" si="0"/>
        <v>2710.4691003764151</v>
      </c>
      <c r="Y11" s="168">
        <f t="shared" si="0"/>
        <v>2710.4691003764151</v>
      </c>
      <c r="Z11" s="168">
        <f t="shared" si="0"/>
        <v>2710.4691003764151</v>
      </c>
      <c r="AA11" s="168">
        <f t="shared" si="0"/>
        <v>2710.4691003764151</v>
      </c>
      <c r="AB11" s="168">
        <f t="shared" si="0"/>
        <v>2710.4691003764151</v>
      </c>
      <c r="AC11" s="168">
        <f t="shared" si="0"/>
        <v>2710.4691003764151</v>
      </c>
      <c r="AD11" s="168">
        <f t="shared" si="0"/>
        <v>2710.4691003764151</v>
      </c>
      <c r="AE11" s="168">
        <f t="shared" si="0"/>
        <v>2710.4691003764151</v>
      </c>
      <c r="AF11" s="168">
        <f t="shared" si="0"/>
        <v>2710.4691003764151</v>
      </c>
      <c r="AG11" s="168">
        <f t="shared" si="0"/>
        <v>2710.4691003764151</v>
      </c>
      <c r="AH11" s="168">
        <f t="shared" si="0"/>
        <v>2710.4691003764151</v>
      </c>
      <c r="AI11" s="168">
        <f t="shared" si="0"/>
        <v>2710.4691003764151</v>
      </c>
      <c r="AJ11" s="168">
        <f t="shared" si="0"/>
        <v>2710.4691003764151</v>
      </c>
      <c r="AK11" s="168">
        <f t="shared" si="0"/>
        <v>2710.4691003764151</v>
      </c>
      <c r="AL11" s="168">
        <f t="shared" si="0"/>
        <v>2710.4691003764151</v>
      </c>
      <c r="AM11" s="168">
        <f t="shared" si="0"/>
        <v>2710.4691003764151</v>
      </c>
      <c r="AN11" s="168">
        <f t="shared" si="0"/>
        <v>2710.4691003764151</v>
      </c>
      <c r="AO11" s="168">
        <f t="shared" si="0"/>
        <v>2710.4691003764151</v>
      </c>
      <c r="AP11" s="168">
        <f t="shared" si="0"/>
        <v>2710.4691003764151</v>
      </c>
      <c r="AQ11" s="168">
        <f t="shared" si="0"/>
        <v>2710.4691003764151</v>
      </c>
      <c r="AR11" s="168">
        <f t="shared" si="0"/>
        <v>2710.4691003764151</v>
      </c>
      <c r="AS11" s="168">
        <f t="shared" si="0"/>
        <v>2710.4691003764151</v>
      </c>
      <c r="AT11" s="168">
        <f t="shared" si="0"/>
        <v>2710.4691003764151</v>
      </c>
      <c r="AU11" s="168">
        <f t="shared" si="0"/>
        <v>2710.4691003764151</v>
      </c>
      <c r="AV11" s="168">
        <f t="shared" si="0"/>
        <v>2710.4691003764151</v>
      </c>
      <c r="AW11" s="168">
        <f t="shared" si="0"/>
        <v>2710.4691003764151</v>
      </c>
    </row>
    <row r="12" spans="1:49" s="144" customFormat="1">
      <c r="D12" s="157" t="s">
        <v>386</v>
      </c>
      <c r="E12" s="145">
        <f>($B$7-'Workings baseline'!$B$7)*E10</f>
        <v>734.68199999999968</v>
      </c>
      <c r="F12" s="145">
        <f>($B$7-'Workings baseline'!$B$7)*F10</f>
        <v>652.39199999999971</v>
      </c>
      <c r="G12" s="145">
        <f>($B$7-'Workings baseline'!$B$7)*G10</f>
        <v>0</v>
      </c>
      <c r="H12" s="145">
        <f>($B$7-'Workings baseline'!$B$7)*H10</f>
        <v>0</v>
      </c>
      <c r="I12" s="145">
        <f>($B$7-'Workings baseline'!$B$7)*I10</f>
        <v>0</v>
      </c>
      <c r="J12" s="145">
        <f>($B$7-'Workings baseline'!$B$7)*J10</f>
        <v>0</v>
      </c>
      <c r="K12" s="145">
        <f>($B$7-'Workings baseline'!$B$7)*K10</f>
        <v>0</v>
      </c>
      <c r="L12" s="145">
        <f>($B$7-'Workings baseline'!$B$7)*L10</f>
        <v>0</v>
      </c>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row>
    <row r="13" spans="1:49" s="144" customFormat="1"/>
    <row r="14" spans="1:49" s="144" customFormat="1">
      <c r="A14" s="144" t="s">
        <v>367</v>
      </c>
      <c r="B14"/>
      <c r="I14" s="169"/>
    </row>
    <row r="15" spans="1:49">
      <c r="A15" s="144" t="s">
        <v>358</v>
      </c>
    </row>
    <row r="16" spans="1:49">
      <c r="A16" s="163" t="s">
        <v>368</v>
      </c>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P7"/>
  <sheetViews>
    <sheetView workbookViewId="0"/>
  </sheetViews>
  <sheetFormatPr defaultRowHeight="15"/>
  <cols>
    <col min="1" max="16384" width="9.140625" style="144"/>
  </cols>
  <sheetData>
    <row r="1" spans="1:16">
      <c r="A1" s="170"/>
      <c r="B1" s="170"/>
      <c r="C1" s="170"/>
      <c r="D1" s="170"/>
      <c r="E1" s="170"/>
      <c r="F1" s="170"/>
      <c r="G1" s="170"/>
      <c r="H1" s="170"/>
      <c r="I1" s="170"/>
      <c r="J1" s="170"/>
      <c r="K1" s="170"/>
      <c r="L1" s="170"/>
      <c r="M1" s="170"/>
      <c r="N1" s="170"/>
      <c r="O1" s="170"/>
      <c r="P1" s="170"/>
    </row>
    <row r="2" spans="1:16" ht="15.75" thickBot="1">
      <c r="A2" s="170"/>
      <c r="B2" s="170"/>
      <c r="C2" s="170"/>
      <c r="D2" s="170"/>
      <c r="E2" s="170"/>
      <c r="F2" s="170"/>
      <c r="G2" s="170"/>
      <c r="H2" s="170"/>
      <c r="I2" s="170"/>
      <c r="J2" s="170"/>
      <c r="K2" s="170"/>
      <c r="L2" s="170"/>
      <c r="M2" s="170"/>
      <c r="N2" s="170"/>
      <c r="O2" s="170"/>
      <c r="P2" s="170"/>
    </row>
    <row r="3" spans="1:16" ht="15.75" thickBot="1">
      <c r="A3" s="171"/>
      <c r="B3" s="172"/>
      <c r="C3" s="172"/>
      <c r="D3" s="172"/>
      <c r="E3" s="172"/>
      <c r="F3" s="172"/>
      <c r="G3" s="172"/>
      <c r="H3" s="172"/>
      <c r="I3" s="221" t="s">
        <v>370</v>
      </c>
      <c r="J3" s="222"/>
      <c r="K3" s="222"/>
      <c r="L3" s="222"/>
      <c r="M3" s="222"/>
      <c r="N3" s="222"/>
      <c r="O3" s="222"/>
      <c r="P3" s="223"/>
    </row>
    <row r="4" spans="1:16">
      <c r="A4" s="221" t="s">
        <v>371</v>
      </c>
      <c r="B4" s="222"/>
      <c r="C4" s="222"/>
      <c r="D4" s="222"/>
      <c r="E4" s="222"/>
      <c r="F4" s="222"/>
      <c r="G4" s="222"/>
      <c r="H4" s="222"/>
      <c r="I4" s="224" t="s">
        <v>372</v>
      </c>
      <c r="J4" s="225"/>
      <c r="K4" s="225" t="s">
        <v>373</v>
      </c>
      <c r="L4" s="225"/>
      <c r="M4" s="225" t="s">
        <v>374</v>
      </c>
      <c r="N4" s="225"/>
      <c r="O4" s="225" t="s">
        <v>18</v>
      </c>
      <c r="P4" s="226"/>
    </row>
    <row r="5" spans="1:16" ht="89.25">
      <c r="A5" s="173" t="s">
        <v>375</v>
      </c>
      <c r="B5" s="174" t="s">
        <v>255</v>
      </c>
      <c r="C5" s="174" t="s">
        <v>376</v>
      </c>
      <c r="D5" s="174" t="s">
        <v>257</v>
      </c>
      <c r="E5" s="174" t="s">
        <v>258</v>
      </c>
      <c r="F5" s="174" t="s">
        <v>377</v>
      </c>
      <c r="G5" s="174" t="s">
        <v>260</v>
      </c>
      <c r="H5" s="174" t="s">
        <v>261</v>
      </c>
      <c r="I5" s="173" t="s">
        <v>15</v>
      </c>
      <c r="J5" s="174" t="s">
        <v>378</v>
      </c>
      <c r="K5" s="174" t="s">
        <v>15</v>
      </c>
      <c r="L5" s="174" t="s">
        <v>378</v>
      </c>
      <c r="M5" s="174" t="s">
        <v>379</v>
      </c>
      <c r="N5" s="174" t="s">
        <v>378</v>
      </c>
      <c r="O5" s="174" t="s">
        <v>380</v>
      </c>
      <c r="P5" s="175" t="s">
        <v>381</v>
      </c>
    </row>
    <row r="6" spans="1:16">
      <c r="A6" s="173" t="s">
        <v>85</v>
      </c>
      <c r="B6" s="174" t="s">
        <v>85</v>
      </c>
      <c r="C6" s="174" t="s">
        <v>85</v>
      </c>
      <c r="D6" s="174" t="s">
        <v>85</v>
      </c>
      <c r="E6" s="174" t="s">
        <v>85</v>
      </c>
      <c r="F6" s="174" t="s">
        <v>85</v>
      </c>
      <c r="G6" s="174" t="s">
        <v>85</v>
      </c>
      <c r="H6" s="174" t="s">
        <v>85</v>
      </c>
      <c r="I6" s="173" t="s">
        <v>39</v>
      </c>
      <c r="J6" s="174" t="s">
        <v>39</v>
      </c>
      <c r="K6" s="174" t="s">
        <v>39</v>
      </c>
      <c r="L6" s="174" t="s">
        <v>39</v>
      </c>
      <c r="M6" s="174" t="s">
        <v>39</v>
      </c>
      <c r="N6" s="174" t="s">
        <v>39</v>
      </c>
      <c r="O6" s="174" t="s">
        <v>382</v>
      </c>
      <c r="P6" s="175" t="s">
        <v>382</v>
      </c>
    </row>
    <row r="7" spans="1:16">
      <c r="A7" s="176">
        <f>-1*'Option 1'!E86</f>
        <v>0</v>
      </c>
      <c r="B7" s="176">
        <f>-1*'Option 1'!F86</f>
        <v>-1435.6356327079488</v>
      </c>
      <c r="C7" s="176">
        <f>-1*'Option 1'!G86</f>
        <v>-2710.4691003764151</v>
      </c>
      <c r="D7" s="176">
        <f>-1*'Option 1'!H86</f>
        <v>-2710.4691003764151</v>
      </c>
      <c r="E7" s="176">
        <f>-1*'Option 1'!I86</f>
        <v>-2710.4691003764151</v>
      </c>
      <c r="F7" s="176">
        <f>-1*'Option 1'!J86</f>
        <v>-2710.4691003764151</v>
      </c>
      <c r="G7" s="176">
        <f>-1*'Option 1'!K86</f>
        <v>-2710.4691003764151</v>
      </c>
      <c r="H7" s="176">
        <f>-1*'Option 1'!L86</f>
        <v>-2710.4691003764151</v>
      </c>
      <c r="I7" s="176">
        <f>-1*SUM('Option 1'!E18:L18)</f>
        <v>1.3870739999999995</v>
      </c>
      <c r="J7" s="176">
        <f>-1*SUM('Option 1'!E18:AW18)</f>
        <v>1.3870739999999995</v>
      </c>
      <c r="K7" s="176">
        <f>SUM('Option 1'!E25:L25)</f>
        <v>0</v>
      </c>
      <c r="L7" s="176">
        <f>SUM('Option 1'!E25:AW25)</f>
        <v>0</v>
      </c>
      <c r="M7" s="176">
        <f>SUM('Option 1'!E76:L76)</f>
        <v>0.97447048258303359</v>
      </c>
      <c r="N7" s="176">
        <f>SUM('Option 1'!E76:AW76)</f>
        <v>7.3605127614584687</v>
      </c>
      <c r="O7" s="176">
        <f>'Option 1'!L81</f>
        <v>0.17588488996047769</v>
      </c>
      <c r="P7" s="176">
        <f>'Option 1'!AW81</f>
        <v>2.2183113385673261</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schemas.microsoft.com/office/2006/metadata/properties"/>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2017-10-31T13:04:16Z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